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пользоваться" sheetId="1" state="visible" r:id="rId3"/>
    <sheet name="Инвестиции" sheetId="2" state="visible" r:id="rId4"/>
    <sheet name="Вводные" sheetId="3" state="visible" r:id="rId5"/>
    <sheet name="Помесячно" sheetId="4" state="visible" r:id="rId6"/>
    <sheet name="Итоги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<sst xmlns="http://schemas.openxmlformats.org/spreadsheetml/2006/main" count="134" uniqueCount="130">
  <si>
    <t xml:space="preserve">Шаблон финансовой модели точки франшизы</t>
  </si>
  <si>
    <t xml:space="preserve">Раздел «Всё о франчайзинге» на сайте «Франчайз Центр» — глава «Шаблон финансовой модели франшизы» (/franchayzing/shablon-finmodeli/).</t>
  </si>
  <si>
    <t xml:space="preserve">Что это</t>
  </si>
  <si>
    <t xml:space="preserve">Помесячная модель точки на 3 года: раскачка, сезонность, все расходы, налоги, оклад управляющего и окупаемость нарастающим итогом.</t>
  </si>
  <si>
    <t xml:space="preserve">В файле заполнен условный пример кофейни из главы «Разбор финансовой модели франшизы на цифрах». Замените цифры на свои.</t>
  </si>
  <si>
    <t xml:space="preserve">Как заполнять</t>
  </si>
  <si>
    <t xml:space="preserve">1. Лист «Инвестиции» — полный бюджет открытия по статьям (жёлтые ячейки).</t>
  </si>
  <si>
    <t xml:space="preserve">2. Лист «Вводные» — выручка, проценты, постоянные расходы, налоговый режим, раскачка и сезонность (жёлтые ячейки).</t>
  </si>
  <si>
    <t xml:space="preserve">3. Лист «Помесячно» считается сам — ничего не вводите.</t>
  </si>
  <si>
    <t xml:space="preserve">4. Лист «Итоги» — окупаемость, доход собственника, точка безубыточности, запас прочности.</t>
  </si>
  <si>
    <t xml:space="preserve">Обозначения</t>
  </si>
  <si>
    <t xml:space="preserve">Синий текст на жёлтом фоне — вводные, их меняете вы.</t>
  </si>
  <si>
    <t xml:space="preserve">Чёрный текст — формулы, их не трогайте.</t>
  </si>
  <si>
    <t xml:space="preserve">Зелёный текст — ссылка на другой лист.</t>
  </si>
  <si>
    <t xml:space="preserve">Допущения и упрощения</t>
  </si>
  <si>
    <t xml:space="preserve">Налог на УСН «доходы минус расходы» считается помесячно с положительной прибыли; минимальный налог 1 % и перенос убытков не учтены.</t>
  </si>
  <si>
    <t xml:space="preserve">Налог на УСН «доходы» не уменьшен на страховые взносы. НДС не учитывается — при выручке выше порога освобождения добавьте его в расходы.</t>
  </si>
  <si>
    <t xml:space="preserve">«Доход собственника» = чистая прибыль + оклад управляющего, если управляете сами (переключатель на листе «Вводные»).</t>
  </si>
  <si>
    <t xml:space="preserve">Резерв на непредвиденное показан отдельно и в окупаемость не входит: он должен быть, но может не понадобиться.</t>
  </si>
  <si>
    <t xml:space="preserve">Модель — инструмент проверки, а не прогноз. Сверяйте цифры с действующими партнёрами сети.</t>
  </si>
  <si>
    <t xml:space="preserve">Инвестиции в открытие точки, ₽</t>
  </si>
  <si>
    <t xml:space="preserve">Статья</t>
  </si>
  <si>
    <t xml:space="preserve">Сумма, ₽</t>
  </si>
  <si>
    <t xml:space="preserve">Комментарий</t>
  </si>
  <si>
    <t xml:space="preserve">Паушальный взнос</t>
  </si>
  <si>
    <t xml:space="preserve">По договору с сетью</t>
  </si>
  <si>
    <t xml:space="preserve">Ремонт и отделка</t>
  </si>
  <si>
    <t xml:space="preserve">По дизайн-проекту сети</t>
  </si>
  <si>
    <t xml:space="preserve">Оборудование и мебель</t>
  </si>
  <si>
    <t xml:space="preserve">По спецификации сети</t>
  </si>
  <si>
    <t xml:space="preserve">Стартовый товар, униформа, прочее</t>
  </si>
  <si>
    <t xml:space="preserve">Обеспечительный платёж по аренде</t>
  </si>
  <si>
    <t xml:space="preserve">Обычно 1–2 месяца аренды</t>
  </si>
  <si>
    <t xml:space="preserve">Аренда на время ремонта</t>
  </si>
  <si>
    <t xml:space="preserve">Арендные каникулы снижают эту статью</t>
  </si>
  <si>
    <t xml:space="preserve">Вывеска и маркетинг открытия</t>
  </si>
  <si>
    <t xml:space="preserve">Зарплата команды до открытия</t>
  </si>
  <si>
    <t xml:space="preserve">Найм и обучение</t>
  </si>
  <si>
    <t xml:space="preserve">Оборотные средства</t>
  </si>
  <si>
    <t xml:space="preserve">Покрывают минус первых месяцев</t>
  </si>
  <si>
    <t xml:space="preserve">Итого инвестиции (для окупаемости)</t>
  </si>
  <si>
    <t xml:space="preserve">Резерв на непредвиденное, доля</t>
  </si>
  <si>
    <t xml:space="preserve">Ориентир 10–15 %</t>
  </si>
  <si>
    <t xml:space="preserve">Резерв, ₽</t>
  </si>
  <si>
    <t xml:space="preserve">Нужно денег всего, с резервом</t>
  </si>
  <si>
    <t xml:space="preserve">Вводные</t>
  </si>
  <si>
    <t xml:space="preserve">Месяц открытия (1 — январь … 12 — декабрь)</t>
  </si>
  <si>
    <t xml:space="preserve">Влияет на то, когда придётся лето</t>
  </si>
  <si>
    <t xml:space="preserve">Выручка в хороший месяц на плановом уровне, ₽</t>
  </si>
  <si>
    <t xml:space="preserve">Медиана точек сети, не лучшая точка</t>
  </si>
  <si>
    <t xml:space="preserve">Себестоимость, доля выручки</t>
  </si>
  <si>
    <t xml:space="preserve">Фудкост, товар, расходники</t>
  </si>
  <si>
    <t xml:space="preserve">Роялти, доля выручки</t>
  </si>
  <si>
    <t xml:space="preserve">Если роялти фиксированный — поставьте 0 и добавьте сумму в «Прочие»</t>
  </si>
  <si>
    <t xml:space="preserve">Маркетинговый сбор, доля выручки</t>
  </si>
  <si>
    <t xml:space="preserve">Аренда в месяц, ₽</t>
  </si>
  <si>
    <t xml:space="preserve">Зарплаты персонала с налогами, ₽</t>
  </si>
  <si>
    <t xml:space="preserve">Без управляющего</t>
  </si>
  <si>
    <t xml:space="preserve">Прочие постоянные расходы, ₽</t>
  </si>
  <si>
    <t xml:space="preserve">Коммунальные, связь, ПО, бухгалтер, эквайринг</t>
  </si>
  <si>
    <t xml:space="preserve">Оклад управляющего, ₽</t>
  </si>
  <si>
    <t xml:space="preserve">Есть всегда: либо наёмный, либо ваш труд</t>
  </si>
  <si>
    <t xml:space="preserve">Управляю сам (1 — да, 0 — нанимаю)</t>
  </si>
  <si>
    <t xml:space="preserve">Если 1 — оклад управляющего добавляется к доходу собственника</t>
  </si>
  <si>
    <t xml:space="preserve">Резерв на замену оборудования, ₽ в месяц</t>
  </si>
  <si>
    <t xml:space="preserve">Стоимость оборудования ÷ срок службы в месяцах</t>
  </si>
  <si>
    <t xml:space="preserve">Налоговый режим</t>
  </si>
  <si>
    <t xml:space="preserve">УСН доходы минус расходы</t>
  </si>
  <si>
    <t xml:space="preserve">Выберите из списка</t>
  </si>
  <si>
    <t xml:space="preserve">Ставка УСН «доходы минус расходы»</t>
  </si>
  <si>
    <t xml:space="preserve">В регионах бывает ниже</t>
  </si>
  <si>
    <t xml:space="preserve">Ставка УСН «доходы»</t>
  </si>
  <si>
    <t xml:space="preserve">Инвестиции (с листа «Инвестиции»), ₽</t>
  </si>
  <si>
    <t xml:space="preserve">Раскачка: доля плановой выручки в первые 12 месяцев после открытия</t>
  </si>
  <si>
    <t xml:space="preserve">Сезонность: коэффициент выручки по календарным месяцам</t>
  </si>
  <si>
    <t xml:space="preserve">Месяц работы</t>
  </si>
  <si>
    <t xml:space="preserve">Доля плана</t>
  </si>
  <si>
    <t xml:space="preserve">Календарный месяц</t>
  </si>
  <si>
    <t xml:space="preserve">Коэффициент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</si>
  <si>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</si>
  <si>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</si>
  <si>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</si>
  <si>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</si>
  <si>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</si>
  <si>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</si>
  <si>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</si>
  <si>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</si>
  <si>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</si>
  <si>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</si>
  <si>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</si>
  <si>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</si>
  <si>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 13-го месяца раскачки нет (100 %). В месяце выручка = план × меньшее из «доли плана» и «сезона».</t>
  </si>
  <si>
    <t xml:space="preserve">Пример: кофейня в офисном районе — летом −20…30 %, в январе −15 %. Без сезонности поставьте всем месяцам 100 %.</t>
  </si>
  <si>
    <t xml:space="preserve">Помесячный расчёт, ₽ (лист считается сам)</t>
  </si>
  <si>
    <t xml:space="preserve">Раскачка</t>
  </si>
  <si>
    <t xml:space="preserve">Сезон</t>
  </si>
  <si>
    <t xml:space="preserve">Выручка</t>
  </si>
  <si>
    <t xml:space="preserve">Себестоимость</t>
  </si>
  <si>
    <t xml:space="preserve">Роялти</t>
  </si>
  <si>
    <t xml:space="preserve">Маркетинговый сбор</t>
  </si>
  <si>
    <t xml:space="preserve">Аренда</t>
  </si>
  <si>
    <t xml:space="preserve">Зарплаты персонала</t>
  </si>
  <si>
    <t xml:space="preserve">Прочие постоянные</t>
  </si>
  <si>
    <t xml:space="preserve">Управляющий</t>
  </si>
  <si>
    <t xml:space="preserve">Резерв на оборудование</t>
  </si>
  <si>
    <t xml:space="preserve">Прибыль до налога</t>
  </si>
  <si>
    <t xml:space="preserve">Налог</t>
  </si>
  <si>
    <t xml:space="preserve">Чистая прибыль</t>
  </si>
  <si>
    <t xml:space="preserve">Доход собственника</t>
  </si>
  <si>
    <t xml:space="preserve">Накопленный итог</t>
  </si>
  <si>
    <t xml:space="preserve">Итоги</t>
  </si>
  <si>
    <t xml:space="preserve">Инвестиции (для окупаемости), ₽</t>
  </si>
  <si>
    <t xml:space="preserve">Окупаемость: месяц, в котором накопленный итог стал положительным</t>
  </si>
  <si>
    <t xml:space="preserve">С раскачкой, сезонностью, налогами</t>
  </si>
  <si>
    <t xml:space="preserve">Окупаемость «как в презентациях», месяцев</t>
  </si>
  <si>
    <t xml:space="preserve">Инвестиции ÷ доход собственника в хороший месяц, без раскачки и сезонности</t>
  </si>
  <si>
    <t xml:space="preserve">Доход собственника за 1-й год, ₽</t>
  </si>
  <si>
    <t xml:space="preserve">Доход собственника за 2-й год, ₽</t>
  </si>
  <si>
    <t xml:space="preserve">Доход собственника за 3-й год, ₽</t>
  </si>
  <si>
    <t xml:space="preserve">Накопленный итог через 36 месяцев, ₽</t>
  </si>
  <si>
    <t xml:space="preserve">Больше нуля — инвестиции вернулись</t>
  </si>
  <si>
    <t xml:space="preserve">Чистая прибыль 3-го года ÷ инвестиции (ROI, % годовых)</t>
  </si>
  <si>
    <t xml:space="preserve">Без оклада собственника: доходность денег, а не труда</t>
  </si>
  <si>
    <t xml:space="preserve">Точка безубыточности: выручка в месяц, ₽</t>
  </si>
  <si>
    <t xml:space="preserve">Для УСН «доходы» налог с выручки здесь не учтён</t>
  </si>
  <si>
    <t xml:space="preserve">Средняя выручка зрелой точки в месяц, ₽</t>
  </si>
  <si>
    <t xml:space="preserve">Третий год, с сезонностью</t>
  </si>
  <si>
    <t xml:space="preserve">Запас прочности</t>
  </si>
  <si>
    <t xml:space="preserve">Насколько выручка может упасть до нуля прибыли</t>
  </si>
  <si>
    <t xml:space="preserve">Доход собственника в хороший месяц на плановом уровне, ₽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</si>
</sst>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;\(0.0%\);\-"/>
    <numFmt numFmtId="167" formatCode="0"/>
    <numFmt numFmtId="168" formatCode="0%"/>
    <numFmt numFmtId="169" formatCode="0.0"/>
    <numFmt numFmtId="170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5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DCE6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C00000"/>
      </font>
    </dxf>
  </dxf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DCE6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Накопленный итог, ₽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Помесячно!S3</c:f>
              <c:strCache>
                <c:ptCount val="1"/>
                <c:pt idx="0">
                  <c:v>Накопленный итог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Помесячно!$A$4:$A$39</c:f>
              <c:strCach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strCache>
            </c:strRef>
          </c:cat>
          <c:val>
            <c:numRef>
              <c:f>Помесячно!$S$4:$S$39</c:f>
              <c:numCache>
                <c:formatCode>#,##0;\(#,##0\);\-</c:formatCode>
                <c:ptCount val="36"/>
                <c:pt idx="0">
                  <c:v>-3944000</c:v>
                </c:pt>
                <c:pt idx="1">
                  <c:v>-3974600</c:v>
                </c:pt>
                <c:pt idx="2">
                  <c:v>-3891800</c:v>
                </c:pt>
                <c:pt idx="3">
                  <c:v>-3809000</c:v>
                </c:pt>
                <c:pt idx="4">
                  <c:v>-3801800</c:v>
                </c:pt>
                <c:pt idx="5">
                  <c:v>-3719000</c:v>
                </c:pt>
                <c:pt idx="6">
                  <c:v>-3506600</c:v>
                </c:pt>
                <c:pt idx="7">
                  <c:v>-3294200</c:v>
                </c:pt>
                <c:pt idx="8">
                  <c:v>-3081800</c:v>
                </c:pt>
                <c:pt idx="9">
                  <c:v>-2869400</c:v>
                </c:pt>
                <c:pt idx="10">
                  <c:v>-2753390</c:v>
                </c:pt>
                <c:pt idx="11">
                  <c:v>-2573120</c:v>
                </c:pt>
                <c:pt idx="12">
                  <c:v>-2392850</c:v>
                </c:pt>
                <c:pt idx="13">
                  <c:v>-2212580</c:v>
                </c:pt>
                <c:pt idx="14">
                  <c:v>-2064440</c:v>
                </c:pt>
                <c:pt idx="15">
                  <c:v>-1981640</c:v>
                </c:pt>
                <c:pt idx="16">
                  <c:v>-1974440</c:v>
                </c:pt>
                <c:pt idx="17">
                  <c:v>-1891640</c:v>
                </c:pt>
                <c:pt idx="18">
                  <c:v>-1679240</c:v>
                </c:pt>
                <c:pt idx="19">
                  <c:v>-1466840</c:v>
                </c:pt>
                <c:pt idx="20">
                  <c:v>-1254440</c:v>
                </c:pt>
                <c:pt idx="21">
                  <c:v>-1042040</c:v>
                </c:pt>
                <c:pt idx="22">
                  <c:v>-926030</c:v>
                </c:pt>
                <c:pt idx="23">
                  <c:v>-745760</c:v>
                </c:pt>
                <c:pt idx="24">
                  <c:v>-565490</c:v>
                </c:pt>
                <c:pt idx="25">
                  <c:v>-385220</c:v>
                </c:pt>
                <c:pt idx="26">
                  <c:v>-237080</c:v>
                </c:pt>
                <c:pt idx="27">
                  <c:v>-154280</c:v>
                </c:pt>
                <c:pt idx="28">
                  <c:v>-147080</c:v>
                </c:pt>
                <c:pt idx="29">
                  <c:v>-64280</c:v>
                </c:pt>
                <c:pt idx="30">
                  <c:v>148120</c:v>
                </c:pt>
                <c:pt idx="31">
                  <c:v>360520</c:v>
                </c:pt>
                <c:pt idx="32">
                  <c:v>572920</c:v>
                </c:pt>
                <c:pt idx="33">
                  <c:v>785320</c:v>
                </c:pt>
                <c:pt idx="34">
                  <c:v>901330</c:v>
                </c:pt>
                <c:pt idx="35">
                  <c:v>1081600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8318484"/>
        <c:axId val="11496346"/>
      </c:lineChart>
      <c:catAx>
        <c:axId val="783184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Месяц работы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496346"/>
        <c:crosses val="autoZero"/>
        <c:auto val="1"/>
        <c:lblAlgn val="ctr"/>
        <c:lblOffset val="100"/>
        <c:noMultiLvlLbl val="0"/>
      </c:catAx>
      <c:valAx>
        <c:axId val="114963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₽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3184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160560</xdr:rowOff>
    </xdr:from>
    <xdr:to>
      <xdr:col>2</xdr:col>
      <xdr:colOff>2139840</xdr:colOff>
      <xdr:row>33</xdr:row>
      <xdr:rowOff>162000</xdr:rowOff>
    </xdr:to>
    <xdr:graphicFrame>
      <xdr:nvGraphicFramePr>
        <xdr:cNvPr id="0" name="Chart 1"/>
        <xdr:cNvGraphicFramePr/>
      </xdr:nvGraphicFramePr>
      <xdr:xfrm>
        <a:off x="0" y="323856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6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 t="s">
        <v>18</v>
      </c>
    </row>
    <row r="24" customFormat="false" ht="15" hidden="false" customHeight="false" outlineLevel="0" collapsed="false">
      <c r="A24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7" t="s">
        <v>21</v>
      </c>
      <c r="B3" s="7" t="s">
        <v>22</v>
      </c>
      <c r="C3" s="7" t="s">
        <v>23</v>
      </c>
    </row>
    <row r="4" customFormat="false" ht="15" hidden="false" customHeight="false" outlineLevel="0" collapsed="false">
      <c r="A4" s="8" t="s">
        <v>24</v>
      </c>
      <c r="B4" s="9" t="n">
        <v>400000</v>
      </c>
      <c r="C4" s="10" t="s">
        <v>25</v>
      </c>
    </row>
    <row r="5" customFormat="false" ht="15" hidden="false" customHeight="false" outlineLevel="0" collapsed="false">
      <c r="A5" s="8" t="s">
        <v>26</v>
      </c>
      <c r="B5" s="9" t="n">
        <v>700000</v>
      </c>
      <c r="C5" s="10" t="s">
        <v>27</v>
      </c>
    </row>
    <row r="6" customFormat="false" ht="15" hidden="false" customHeight="false" outlineLevel="0" collapsed="false">
      <c r="A6" s="8" t="s">
        <v>28</v>
      </c>
      <c r="B6" s="9" t="n">
        <v>900000</v>
      </c>
      <c r="C6" s="10" t="s">
        <v>29</v>
      </c>
    </row>
    <row r="7" customFormat="false" ht="15" hidden="false" customHeight="false" outlineLevel="0" collapsed="false">
      <c r="A7" s="8" t="s">
        <v>30</v>
      </c>
      <c r="B7" s="9" t="n">
        <v>500000</v>
      </c>
      <c r="C7" s="10"/>
    </row>
    <row r="8" customFormat="false" ht="15" hidden="false" customHeight="false" outlineLevel="0" collapsed="false">
      <c r="A8" s="8" t="s">
        <v>31</v>
      </c>
      <c r="B8" s="9" t="n">
        <v>300000</v>
      </c>
      <c r="C8" s="10" t="s">
        <v>32</v>
      </c>
    </row>
    <row r="9" customFormat="false" ht="15" hidden="false" customHeight="false" outlineLevel="0" collapsed="false">
      <c r="A9" s="8" t="s">
        <v>33</v>
      </c>
      <c r="B9" s="9" t="n">
        <v>300000</v>
      </c>
      <c r="C9" s="10" t="s">
        <v>34</v>
      </c>
    </row>
    <row r="10" customFormat="false" ht="15" hidden="false" customHeight="false" outlineLevel="0" collapsed="false">
      <c r="A10" s="8" t="s">
        <v>35</v>
      </c>
      <c r="B10" s="9" t="n">
        <v>150000</v>
      </c>
      <c r="C10" s="10"/>
    </row>
    <row r="11" customFormat="false" ht="15" hidden="false" customHeight="false" outlineLevel="0" collapsed="false">
      <c r="A11" s="8" t="s">
        <v>36</v>
      </c>
      <c r="B11" s="9" t="n">
        <v>150000</v>
      </c>
      <c r="C11" s="10" t="s">
        <v>37</v>
      </c>
    </row>
    <row r="12" customFormat="false" ht="15" hidden="false" customHeight="false" outlineLevel="0" collapsed="false">
      <c r="A12" s="8" t="s">
        <v>38</v>
      </c>
      <c r="B12" s="9" t="n">
        <v>400000</v>
      </c>
      <c r="C12" s="10" t="s">
        <v>39</v>
      </c>
    </row>
    <row r="13" customFormat="false" ht="15" hidden="false" customHeight="false" outlineLevel="0" collapsed="false">
      <c r="A13" s="11" t="s">
        <v>40</v>
      </c>
      <c r="B13" s="12" t="n">
        <f aca="false">SUM(B4:B12)</f>
        <v>3800000</v>
      </c>
      <c r="C13" s="13"/>
    </row>
    <row r="15" customFormat="false" ht="15" hidden="false" customHeight="false" outlineLevel="0" collapsed="false">
      <c r="A15" s="4" t="s">
        <v>41</v>
      </c>
      <c r="B15" s="14" t="n">
        <v>0.15</v>
      </c>
      <c r="C15" s="2" t="s">
        <v>42</v>
      </c>
    </row>
    <row r="16" customFormat="false" ht="15" hidden="false" customHeight="false" outlineLevel="0" collapsed="false">
      <c r="A16" s="4" t="s">
        <v>43</v>
      </c>
      <c r="B16" s="15" t="n">
        <f aca="false">B13*B15</f>
        <v>570000</v>
      </c>
    </row>
    <row r="17" customFormat="false" ht="15" hidden="false" customHeight="false" outlineLevel="0" collapsed="false">
      <c r="A17" s="3" t="s">
        <v>44</v>
      </c>
      <c r="B17" s="16" t="n">
        <f aca="false">B13+B16</f>
        <v>4370000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6"/>
    <col collapsed="false" customWidth="true" hidden="false" outlineLevel="0" max="3" min="3" style="0" width="58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45</v>
      </c>
    </row>
    <row r="3" customFormat="false" ht="15" hidden="false" customHeight="false" outlineLevel="0" collapsed="false">
      <c r="A3" s="4" t="s">
        <v>46</v>
      </c>
      <c r="B3" s="17" t="n">
        <v>3</v>
      </c>
      <c r="C3" s="2" t="s">
        <v>47</v>
      </c>
    </row>
    <row r="4" customFormat="false" ht="15" hidden="false" customHeight="false" outlineLevel="0" collapsed="false">
      <c r="A4" s="4" t="s">
        <v>48</v>
      </c>
      <c r="B4" s="9" t="n">
        <v>1200000</v>
      </c>
      <c r="C4" s="2" t="s">
        <v>49</v>
      </c>
    </row>
    <row r="5" customFormat="false" ht="15" hidden="false" customHeight="false" outlineLevel="0" collapsed="false">
      <c r="A5" s="4" t="s">
        <v>50</v>
      </c>
      <c r="B5" s="18" t="n">
        <v>0.3</v>
      </c>
      <c r="C5" s="2" t="s">
        <v>51</v>
      </c>
    </row>
    <row r="6" customFormat="false" ht="15" hidden="false" customHeight="false" outlineLevel="0" collapsed="false">
      <c r="A6" s="4" t="s">
        <v>52</v>
      </c>
      <c r="B6" s="18" t="n">
        <v>0.05</v>
      </c>
      <c r="C6" s="2" t="s">
        <v>53</v>
      </c>
    </row>
    <row r="7" customFormat="false" ht="15" hidden="false" customHeight="false" outlineLevel="0" collapsed="false">
      <c r="A7" s="4" t="s">
        <v>54</v>
      </c>
      <c r="B7" s="18" t="n">
        <v>0.02</v>
      </c>
      <c r="C7" s="2"/>
    </row>
    <row r="8" customFormat="false" ht="15" hidden="false" customHeight="false" outlineLevel="0" collapsed="false">
      <c r="A8" s="4" t="s">
        <v>55</v>
      </c>
      <c r="B8" s="9" t="n">
        <v>150000</v>
      </c>
      <c r="C8" s="2"/>
    </row>
    <row r="9" customFormat="false" ht="15" hidden="false" customHeight="false" outlineLevel="0" collapsed="false">
      <c r="A9" s="4" t="s">
        <v>56</v>
      </c>
      <c r="B9" s="9" t="n">
        <v>300000</v>
      </c>
      <c r="C9" s="2" t="s">
        <v>57</v>
      </c>
    </row>
    <row r="10" customFormat="false" ht="15" hidden="false" customHeight="false" outlineLevel="0" collapsed="false">
      <c r="A10" s="4" t="s">
        <v>58</v>
      </c>
      <c r="B10" s="9" t="n">
        <v>60000</v>
      </c>
      <c r="C10" s="2" t="s">
        <v>59</v>
      </c>
    </row>
    <row r="11" customFormat="false" ht="15" hidden="false" customHeight="false" outlineLevel="0" collapsed="false">
      <c r="A11" s="4" t="s">
        <v>60</v>
      </c>
      <c r="B11" s="9" t="n">
        <v>90000</v>
      </c>
      <c r="C11" s="2" t="s">
        <v>61</v>
      </c>
    </row>
    <row r="12" customFormat="false" ht="15" hidden="false" customHeight="false" outlineLevel="0" collapsed="false">
      <c r="A12" s="4" t="s">
        <v>62</v>
      </c>
      <c r="B12" s="17" t="n">
        <v>1</v>
      </c>
      <c r="C12" s="2" t="s">
        <v>63</v>
      </c>
    </row>
    <row r="13" customFormat="false" ht="15" hidden="false" customHeight="false" outlineLevel="0" collapsed="false">
      <c r="A13" s="4" t="s">
        <v>64</v>
      </c>
      <c r="B13" s="9" t="n">
        <v>12000</v>
      </c>
      <c r="C13" s="2" t="s">
        <v>65</v>
      </c>
    </row>
    <row r="14" customFormat="false" ht="15" hidden="false" customHeight="false" outlineLevel="0" collapsed="false">
      <c r="A14" s="4" t="s">
        <v>66</v>
      </c>
      <c r="B14" s="19" t="s">
        <v>67</v>
      </c>
      <c r="C14" s="2" t="s">
        <v>68</v>
      </c>
    </row>
    <row r="15" customFormat="false" ht="15" hidden="false" customHeight="false" outlineLevel="0" collapsed="false">
      <c r="A15" s="4" t="s">
        <v>69</v>
      </c>
      <c r="B15" s="18" t="n">
        <v>0.15</v>
      </c>
      <c r="C15" s="2" t="s">
        <v>70</v>
      </c>
    </row>
    <row r="16" customFormat="false" ht="15" hidden="false" customHeight="false" outlineLevel="0" collapsed="false">
      <c r="A16" s="4" t="s">
        <v>71</v>
      </c>
      <c r="B16" s="18" t="n">
        <v>0.06</v>
      </c>
      <c r="C16" s="2" t="s">
        <v>70</v>
      </c>
    </row>
    <row r="18" customFormat="false" ht="15" hidden="false" customHeight="false" outlineLevel="0" collapsed="false">
      <c r="A18" s="4" t="s">
        <v>72</v>
      </c>
      <c r="B18" s="20" t="n">
        <f aca="false">Инвестиции!$B$13</f>
        <v>3800000</v>
      </c>
    </row>
    <row r="20" customFormat="false" ht="15" hidden="false" customHeight="false" outlineLevel="0" collapsed="false">
      <c r="A20" s="3" t="s">
        <v>73</v>
      </c>
      <c r="D20" s="3" t="s">
        <v>74</v>
      </c>
    </row>
    <row r="21" customFormat="false" ht="15" hidden="false" customHeight="false" outlineLevel="0" collapsed="false">
      <c r="A21" s="7" t="s">
        <v>75</v>
      </c>
      <c r="B21" s="7" t="s">
        <v>76</v>
      </c>
      <c r="D21" s="7" t="s">
        <v>77</v>
      </c>
      <c r="E21" s="7" t="s">
        <v>78</v>
      </c>
    </row>
    <row r="22" customFormat="false" ht="15" hidden="false" customHeight="false" outlineLevel="0" collapsed="false">
      <c r="A22" s="8" t="n">
        <v>1</v>
      </c>
      <c r="B22" s="21" t="n">
        <v>0.5</v>
      </c>
      <c r="D22" s="8" t="s">
        <v>79</v>
      </c>
      <c r="E22" s="21" t="n">
        <v>0.85</v>
      </c>
    </row>
    <row r="23" customFormat="false" ht="15" hidden="false" customHeight="false" outlineLevel="0" collapsed="false">
      <c r="A23" s="8" t="n">
        <v>2</v>
      </c>
      <c r="B23" s="21" t="n">
        <v>0.65</v>
      </c>
      <c r="D23" s="8" t="s">
        <v>80</v>
      </c>
      <c r="E23" s="21" t="n">
        <v>0.95</v>
      </c>
    </row>
    <row r="24" customFormat="false" ht="15" hidden="false" customHeight="false" outlineLevel="0" collapsed="false">
      <c r="A24" s="8" t="n">
        <v>3</v>
      </c>
      <c r="B24" s="21" t="n">
        <v>0.8</v>
      </c>
      <c r="D24" s="8" t="s">
        <v>81</v>
      </c>
      <c r="E24" s="21" t="n">
        <v>0.95</v>
      </c>
    </row>
    <row r="25" customFormat="false" ht="15" hidden="false" customHeight="false" outlineLevel="0" collapsed="false">
      <c r="A25" s="8" t="n">
        <v>4</v>
      </c>
      <c r="B25" s="21" t="n">
        <v>0.8</v>
      </c>
      <c r="D25" s="8" t="s">
        <v>82</v>
      </c>
      <c r="E25" s="21" t="n">
        <v>0.95</v>
      </c>
    </row>
    <row r="26" customFormat="false" ht="15" hidden="false" customHeight="false" outlineLevel="0" collapsed="false">
      <c r="A26" s="8" t="n">
        <v>5</v>
      </c>
      <c r="B26" s="21" t="n">
        <v>0.9</v>
      </c>
      <c r="D26" s="8" t="s">
        <v>83</v>
      </c>
      <c r="E26" s="21" t="n">
        <v>0.9</v>
      </c>
    </row>
    <row r="27" customFormat="false" ht="15" hidden="false" customHeight="false" outlineLevel="0" collapsed="false">
      <c r="A27" s="8" t="n">
        <v>6</v>
      </c>
      <c r="B27" s="21" t="n">
        <v>0.9</v>
      </c>
      <c r="D27" s="8" t="s">
        <v>84</v>
      </c>
      <c r="E27" s="21" t="n">
        <v>0.8</v>
      </c>
    </row>
    <row r="28" customFormat="false" ht="15" hidden="false" customHeight="false" outlineLevel="0" collapsed="false">
      <c r="A28" s="8" t="n">
        <v>7</v>
      </c>
      <c r="B28" s="21" t="n">
        <v>1</v>
      </c>
      <c r="D28" s="8" t="s">
        <v>85</v>
      </c>
      <c r="E28" s="21" t="n">
        <v>0.7</v>
      </c>
    </row>
    <row r="29" customFormat="false" ht="15" hidden="false" customHeight="false" outlineLevel="0" collapsed="false">
      <c r="A29" s="8" t="n">
        <v>8</v>
      </c>
      <c r="B29" s="21" t="n">
        <v>1</v>
      </c>
      <c r="D29" s="8" t="s">
        <v>86</v>
      </c>
      <c r="E29" s="21" t="n">
        <v>0.8</v>
      </c>
    </row>
    <row r="30" customFormat="false" ht="15" hidden="false" customHeight="false" outlineLevel="0" collapsed="false">
      <c r="A30" s="8" t="n">
        <v>9</v>
      </c>
      <c r="B30" s="21" t="n">
        <v>1</v>
      </c>
      <c r="D30" s="8" t="s">
        <v>87</v>
      </c>
      <c r="E30" s="21" t="n">
        <v>1</v>
      </c>
    </row>
    <row r="31" customFormat="false" ht="15" hidden="false" customHeight="false" outlineLevel="0" collapsed="false">
      <c r="A31" s="8" t="n">
        <v>10</v>
      </c>
      <c r="B31" s="21" t="n">
        <v>1</v>
      </c>
      <c r="D31" s="8" t="s">
        <v>88</v>
      </c>
      <c r="E31" s="21" t="n">
        <v>1</v>
      </c>
    </row>
    <row r="32" customFormat="false" ht="15" hidden="false" customHeight="false" outlineLevel="0" collapsed="false">
      <c r="A32" s="8" t="n">
        <v>11</v>
      </c>
      <c r="B32" s="21" t="n">
        <v>1</v>
      </c>
      <c r="D32" s="8" t="s">
        <v>89</v>
      </c>
      <c r="E32" s="21" t="n">
        <v>1</v>
      </c>
    </row>
    <row r="33" customFormat="false" ht="15" hidden="false" customHeight="false" outlineLevel="0" collapsed="false">
      <c r="A33" s="8" t="n">
        <v>12</v>
      </c>
      <c r="B33" s="21" t="n">
        <v>1</v>
      </c>
      <c r="D33" s="8" t="s">
        <v>90</v>
      </c>
      <c r="E33" s="21" t="n">
        <v>1</v>
      </c>
    </row>
    <row r="34" customFormat="false" ht="15" hidden="false" customHeight="false" outlineLevel="0" collapsed="false">
      <c r="A34" s="2" t="s">
        <v>91</v>
      </c>
    </row>
    <row r="35" customFormat="false" ht="15" hidden="false" customHeight="false" outlineLevel="0" collapsed="false">
      <c r="A35" s="2" t="s">
        <v>92</v>
      </c>
    </row>
  </sheetData>
  <dataValidations count="3">
    <dataValidation allowBlank="false" errorStyle="stop" operator="between" showDropDown="false" showErrorMessage="false" showInputMessage="false" sqref="B14" type="list">
      <formula1>"УСН доходы минус расходы,УСН доходы"</formula1>
      <formula2>0</formula2>
    </dataValidation>
    <dataValidation allowBlank="false" errorStyle="stop" operator="between" showDropDown="false" showErrorMessage="false" showInputMessage="false" sqref="B12" type="list">
      <formula1>"0,1"</formula1>
      <formula2>0</formula2>
    </dataValidation>
    <dataValidation allowBlank="false" errorStyle="stop" operator="between" showDropDown="false" showErrorMessage="false" showInputMessage="false" sqref="B3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5" min="3" style="0" width="9"/>
    <col collapsed="false" customWidth="true" hidden="false" outlineLevel="0" max="19" min="6" style="0" width="13"/>
  </cols>
  <sheetData>
    <row r="1" customFormat="false" ht="17.35" hidden="false" customHeight="false" outlineLevel="0" collapsed="false">
      <c r="A1" s="1" t="s">
        <v>93</v>
      </c>
    </row>
    <row r="3" customFormat="false" ht="42" hidden="false" customHeight="true" outlineLevel="0" collapsed="false">
      <c r="A3" s="22" t="s">
        <v>75</v>
      </c>
      <c r="B3" s="22" t="s">
        <v>77</v>
      </c>
      <c r="C3" s="22" t="s">
        <v>94</v>
      </c>
      <c r="D3" s="22" t="s">
        <v>95</v>
      </c>
      <c r="E3" s="22" t="s">
        <v>76</v>
      </c>
      <c r="F3" s="22" t="s">
        <v>96</v>
      </c>
      <c r="G3" s="22" t="s">
        <v>97</v>
      </c>
      <c r="H3" s="22" t="s">
        <v>98</v>
      </c>
      <c r="I3" s="22" t="s">
        <v>99</v>
      </c>
      <c r="J3" s="22" t="s">
        <v>100</v>
      </c>
      <c r="K3" s="22" t="s">
        <v>101</v>
      </c>
      <c r="L3" s="22" t="s">
        <v>102</v>
      </c>
      <c r="M3" s="22" t="s">
        <v>103</v>
      </c>
      <c r="N3" s="22" t="s">
        <v>104</v>
      </c>
      <c r="O3" s="22" t="s">
        <v>105</v>
      </c>
      <c r="P3" s="22" t="s">
        <v>106</v>
      </c>
      <c r="Q3" s="22" t="s">
        <v>107</v>
      </c>
      <c r="R3" s="22" t="s">
        <v>108</v>
      </c>
      <c r="S3" s="22" t="s">
        <v>109</v>
      </c>
    </row>
    <row r="4" customFormat="false" ht="15" hidden="false" customHeight="false" outlineLevel="0" collapsed="false">
      <c r="A4" s="8" t="n">
        <v>1</v>
      </c>
      <c r="B4" s="8" t="n">
        <f aca="false">MOD(Вводные!$B$3+A4-2,12)+1</f>
        <v>3</v>
      </c>
      <c r="C4" s="23" t="n">
        <f aca="false">IF(A4&lt;=12,INDEX(Вводные!$B$22:$B$33,A4),1)</f>
        <v>0.5</v>
      </c>
      <c r="D4" s="23" t="n">
        <f aca="false">INDEX(Вводные!$E$22:$E$33,B4)</f>
        <v>0.95</v>
      </c>
      <c r="E4" s="23" t="n">
        <f aca="false">MIN(C4,D4)</f>
        <v>0.5</v>
      </c>
      <c r="F4" s="24" t="n">
        <f aca="false">Вводные!$B$4*E4</f>
        <v>600000</v>
      </c>
      <c r="G4" s="24" t="n">
        <f aca="false">F4*Вводные!$B$5</f>
        <v>180000</v>
      </c>
      <c r="H4" s="24" t="n">
        <f aca="false">F4*Вводные!$B$6</f>
        <v>30000</v>
      </c>
      <c r="I4" s="24" t="n">
        <f aca="false">F4*Вводные!$B$7</f>
        <v>12000</v>
      </c>
      <c r="J4" s="24" t="n">
        <f aca="false">Вводные!$B$8</f>
        <v>150000</v>
      </c>
      <c r="K4" s="24" t="n">
        <f aca="false">Вводные!$B$9</f>
        <v>300000</v>
      </c>
      <c r="L4" s="24" t="n">
        <f aca="false">Вводные!$B$10</f>
        <v>60000</v>
      </c>
      <c r="M4" s="24" t="n">
        <f aca="false">Вводные!$B$11</f>
        <v>90000</v>
      </c>
      <c r="N4" s="24" t="n">
        <f aca="false">Вводные!$B$13</f>
        <v>12000</v>
      </c>
      <c r="O4" s="24" t="n">
        <f aca="false">F4-SUM(G4:N4)</f>
        <v>-234000</v>
      </c>
      <c r="P4" s="24" t="n">
        <f aca="false">IF(Вводные!$B$14="УСН доходы",F4*Вводные!$B$16,MAX(0,O4)*Вводные!$B$15)</f>
        <v>0</v>
      </c>
      <c r="Q4" s="24" t="n">
        <f aca="false">O4-P4</f>
        <v>-234000</v>
      </c>
      <c r="R4" s="24" t="n">
        <f aca="false">Q4+IF(Вводные!$B$12=1,M4,0)</f>
        <v>-144000</v>
      </c>
      <c r="S4" s="24" t="n">
        <f aca="false">-Вводные!$B$18+R4</f>
        <v>-3944000</v>
      </c>
    </row>
    <row r="5" customFormat="false" ht="15" hidden="false" customHeight="false" outlineLevel="0" collapsed="false">
      <c r="A5" s="8" t="n">
        <v>2</v>
      </c>
      <c r="B5" s="8" t="n">
        <f aca="false">MOD(Вводные!$B$3+A5-2,12)+1</f>
        <v>4</v>
      </c>
      <c r="C5" s="23" t="n">
        <f aca="false">IF(A5&lt;=12,INDEX(Вводные!$B$22:$B$33,A5),1)</f>
        <v>0.65</v>
      </c>
      <c r="D5" s="23" t="n">
        <f aca="false">INDEX(Вводные!$E$22:$E$33,B5)</f>
        <v>0.95</v>
      </c>
      <c r="E5" s="23" t="n">
        <f aca="false">MIN(C5,D5)</f>
        <v>0.65</v>
      </c>
      <c r="F5" s="24" t="n">
        <f aca="false">Вводные!$B$4*E5</f>
        <v>780000</v>
      </c>
      <c r="G5" s="24" t="n">
        <f aca="false">F5*Вводные!$B$5</f>
        <v>234000</v>
      </c>
      <c r="H5" s="24" t="n">
        <f aca="false">F5*Вводные!$B$6</f>
        <v>39000</v>
      </c>
      <c r="I5" s="24" t="n">
        <f aca="false">F5*Вводные!$B$7</f>
        <v>15600</v>
      </c>
      <c r="J5" s="24" t="n">
        <f aca="false">Вводные!$B$8</f>
        <v>150000</v>
      </c>
      <c r="K5" s="24" t="n">
        <f aca="false">Вводные!$B$9</f>
        <v>300000</v>
      </c>
      <c r="L5" s="24" t="n">
        <f aca="false">Вводные!$B$10</f>
        <v>60000</v>
      </c>
      <c r="M5" s="24" t="n">
        <f aca="false">Вводные!$B$11</f>
        <v>90000</v>
      </c>
      <c r="N5" s="24" t="n">
        <f aca="false">Вводные!$B$13</f>
        <v>12000</v>
      </c>
      <c r="O5" s="24" t="n">
        <f aca="false">F5-SUM(G5:N5)</f>
        <v>-120600</v>
      </c>
      <c r="P5" s="24" t="n">
        <f aca="false">IF(Вводные!$B$14="УСН доходы",F5*Вводные!$B$16,MAX(0,O5)*Вводные!$B$15)</f>
        <v>0</v>
      </c>
      <c r="Q5" s="24" t="n">
        <f aca="false">O5-P5</f>
        <v>-120600</v>
      </c>
      <c r="R5" s="24" t="n">
        <f aca="false">Q5+IF(Вводные!$B$12=1,M5,0)</f>
        <v>-30600</v>
      </c>
      <c r="S5" s="24" t="n">
        <f aca="false">S4+R5</f>
        <v>-3974600</v>
      </c>
    </row>
    <row r="6" customFormat="false" ht="15" hidden="false" customHeight="false" outlineLevel="0" collapsed="false">
      <c r="A6" s="8" t="n">
        <v>3</v>
      </c>
      <c r="B6" s="8" t="n">
        <f aca="false">MOD(Вводные!$B$3+A6-2,12)+1</f>
        <v>5</v>
      </c>
      <c r="C6" s="23" t="n">
        <f aca="false">IF(A6&lt;=12,INDEX(Вводные!$B$22:$B$33,A6),1)</f>
        <v>0.8</v>
      </c>
      <c r="D6" s="23" t="n">
        <f aca="false">INDEX(Вводные!$E$22:$E$33,B6)</f>
        <v>0.9</v>
      </c>
      <c r="E6" s="23" t="n">
        <f aca="false">MIN(C6,D6)</f>
        <v>0.8</v>
      </c>
      <c r="F6" s="24" t="n">
        <f aca="false">Вводные!$B$4*E6</f>
        <v>960000</v>
      </c>
      <c r="G6" s="24" t="n">
        <f aca="false">F6*Вводные!$B$5</f>
        <v>288000</v>
      </c>
      <c r="H6" s="24" t="n">
        <f aca="false">F6*Вводные!$B$6</f>
        <v>48000</v>
      </c>
      <c r="I6" s="24" t="n">
        <f aca="false">F6*Вводные!$B$7</f>
        <v>19200</v>
      </c>
      <c r="J6" s="24" t="n">
        <f aca="false">Вводные!$B$8</f>
        <v>150000</v>
      </c>
      <c r="K6" s="24" t="n">
        <f aca="false">Вводные!$B$9</f>
        <v>300000</v>
      </c>
      <c r="L6" s="24" t="n">
        <f aca="false">Вводные!$B$10</f>
        <v>60000</v>
      </c>
      <c r="M6" s="24" t="n">
        <f aca="false">Вводные!$B$11</f>
        <v>90000</v>
      </c>
      <c r="N6" s="24" t="n">
        <f aca="false">Вводные!$B$13</f>
        <v>12000</v>
      </c>
      <c r="O6" s="24" t="n">
        <f aca="false">F6-SUM(G6:N6)</f>
        <v>-7200</v>
      </c>
      <c r="P6" s="24" t="n">
        <f aca="false">IF(Вводные!$B$14="УСН доходы",F6*Вводные!$B$16,MAX(0,O6)*Вводные!$B$15)</f>
        <v>0</v>
      </c>
      <c r="Q6" s="24" t="n">
        <f aca="false">O6-P6</f>
        <v>-7200</v>
      </c>
      <c r="R6" s="24" t="n">
        <f aca="false">Q6+IF(Вводные!$B$12=1,M6,0)</f>
        <v>82800</v>
      </c>
      <c r="S6" s="24" t="n">
        <f aca="false">S5+R6</f>
        <v>-3891800</v>
      </c>
    </row>
    <row r="7" customFormat="false" ht="15" hidden="false" customHeight="false" outlineLevel="0" collapsed="false">
      <c r="A7" s="8" t="n">
        <v>4</v>
      </c>
      <c r="B7" s="8" t="n">
        <f aca="false">MOD(Вводные!$B$3+A7-2,12)+1</f>
        <v>6</v>
      </c>
      <c r="C7" s="23" t="n">
        <f aca="false">IF(A7&lt;=12,INDEX(Вводные!$B$22:$B$33,A7),1)</f>
        <v>0.8</v>
      </c>
      <c r="D7" s="23" t="n">
        <f aca="false">INDEX(Вводные!$E$22:$E$33,B7)</f>
        <v>0.8</v>
      </c>
      <c r="E7" s="23" t="n">
        <f aca="false">MIN(C7,D7)</f>
        <v>0.8</v>
      </c>
      <c r="F7" s="24" t="n">
        <f aca="false">Вводные!$B$4*E7</f>
        <v>960000</v>
      </c>
      <c r="G7" s="24" t="n">
        <f aca="false">F7*Вводные!$B$5</f>
        <v>288000</v>
      </c>
      <c r="H7" s="24" t="n">
        <f aca="false">F7*Вводные!$B$6</f>
        <v>48000</v>
      </c>
      <c r="I7" s="24" t="n">
        <f aca="false">F7*Вводные!$B$7</f>
        <v>19200</v>
      </c>
      <c r="J7" s="24" t="n">
        <f aca="false">Вводные!$B$8</f>
        <v>150000</v>
      </c>
      <c r="K7" s="24" t="n">
        <f aca="false">Вводные!$B$9</f>
        <v>300000</v>
      </c>
      <c r="L7" s="24" t="n">
        <f aca="false">Вводные!$B$10</f>
        <v>60000</v>
      </c>
      <c r="M7" s="24" t="n">
        <f aca="false">Вводные!$B$11</f>
        <v>90000</v>
      </c>
      <c r="N7" s="24" t="n">
        <f aca="false">Вводные!$B$13</f>
        <v>12000</v>
      </c>
      <c r="O7" s="24" t="n">
        <f aca="false">F7-SUM(G7:N7)</f>
        <v>-7200</v>
      </c>
      <c r="P7" s="24" t="n">
        <f aca="false">IF(Вводные!$B$14="УСН доходы",F7*Вводные!$B$16,MAX(0,O7)*Вводные!$B$15)</f>
        <v>0</v>
      </c>
      <c r="Q7" s="24" t="n">
        <f aca="false">O7-P7</f>
        <v>-7200</v>
      </c>
      <c r="R7" s="24" t="n">
        <f aca="false">Q7+IF(Вводные!$B$12=1,M7,0)</f>
        <v>82800</v>
      </c>
      <c r="S7" s="24" t="n">
        <f aca="false">S6+R7</f>
        <v>-3809000</v>
      </c>
    </row>
    <row r="8" customFormat="false" ht="15" hidden="false" customHeight="false" outlineLevel="0" collapsed="false">
      <c r="A8" s="8" t="n">
        <v>5</v>
      </c>
      <c r="B8" s="8" t="n">
        <f aca="false">MOD(Вводные!$B$3+A8-2,12)+1</f>
        <v>7</v>
      </c>
      <c r="C8" s="23" t="n">
        <f aca="false">IF(A8&lt;=12,INDEX(Вводные!$B$22:$B$33,A8),1)</f>
        <v>0.9</v>
      </c>
      <c r="D8" s="23" t="n">
        <f aca="false">INDEX(Вводные!$E$22:$E$33,B8)</f>
        <v>0.7</v>
      </c>
      <c r="E8" s="23" t="n">
        <f aca="false">MIN(C8,D8)</f>
        <v>0.7</v>
      </c>
      <c r="F8" s="24" t="n">
        <f aca="false">Вводные!$B$4*E8</f>
        <v>840000</v>
      </c>
      <c r="G8" s="24" t="n">
        <f aca="false">F8*Вводные!$B$5</f>
        <v>252000</v>
      </c>
      <c r="H8" s="24" t="n">
        <f aca="false">F8*Вводные!$B$6</f>
        <v>42000</v>
      </c>
      <c r="I8" s="24" t="n">
        <f aca="false">F8*Вводные!$B$7</f>
        <v>16800</v>
      </c>
      <c r="J8" s="24" t="n">
        <f aca="false">Вводные!$B$8</f>
        <v>150000</v>
      </c>
      <c r="K8" s="24" t="n">
        <f aca="false">Вводные!$B$9</f>
        <v>300000</v>
      </c>
      <c r="L8" s="24" t="n">
        <f aca="false">Вводные!$B$10</f>
        <v>60000</v>
      </c>
      <c r="M8" s="24" t="n">
        <f aca="false">Вводные!$B$11</f>
        <v>90000</v>
      </c>
      <c r="N8" s="24" t="n">
        <f aca="false">Вводные!$B$13</f>
        <v>12000</v>
      </c>
      <c r="O8" s="24" t="n">
        <f aca="false">F8-SUM(G8:N8)</f>
        <v>-82800</v>
      </c>
      <c r="P8" s="24" t="n">
        <f aca="false">IF(Вводные!$B$14="УСН доходы",F8*Вводные!$B$16,MAX(0,O8)*Вводные!$B$15)</f>
        <v>0</v>
      </c>
      <c r="Q8" s="24" t="n">
        <f aca="false">O8-P8</f>
        <v>-82800</v>
      </c>
      <c r="R8" s="24" t="n">
        <f aca="false">Q8+IF(Вводные!$B$12=1,M8,0)</f>
        <v>7200</v>
      </c>
      <c r="S8" s="24" t="n">
        <f aca="false">S7+R8</f>
        <v>-3801800</v>
      </c>
    </row>
    <row r="9" customFormat="false" ht="15" hidden="false" customHeight="false" outlineLevel="0" collapsed="false">
      <c r="A9" s="8" t="n">
        <v>6</v>
      </c>
      <c r="B9" s="8" t="n">
        <f aca="false">MOD(Вводные!$B$3+A9-2,12)+1</f>
        <v>8</v>
      </c>
      <c r="C9" s="23" t="n">
        <f aca="false">IF(A9&lt;=12,INDEX(Вводные!$B$22:$B$33,A9),1)</f>
        <v>0.9</v>
      </c>
      <c r="D9" s="23" t="n">
        <f aca="false">INDEX(Вводные!$E$22:$E$33,B9)</f>
        <v>0.8</v>
      </c>
      <c r="E9" s="23" t="n">
        <f aca="false">MIN(C9,D9)</f>
        <v>0.8</v>
      </c>
      <c r="F9" s="24" t="n">
        <f aca="false">Вводные!$B$4*E9</f>
        <v>960000</v>
      </c>
      <c r="G9" s="24" t="n">
        <f aca="false">F9*Вводные!$B$5</f>
        <v>288000</v>
      </c>
      <c r="H9" s="24" t="n">
        <f aca="false">F9*Вводные!$B$6</f>
        <v>48000</v>
      </c>
      <c r="I9" s="24" t="n">
        <f aca="false">F9*Вводные!$B$7</f>
        <v>19200</v>
      </c>
      <c r="J9" s="24" t="n">
        <f aca="false">Вводные!$B$8</f>
        <v>150000</v>
      </c>
      <c r="K9" s="24" t="n">
        <f aca="false">Вводные!$B$9</f>
        <v>300000</v>
      </c>
      <c r="L9" s="24" t="n">
        <f aca="false">Вводные!$B$10</f>
        <v>60000</v>
      </c>
      <c r="M9" s="24" t="n">
        <f aca="false">Вводные!$B$11</f>
        <v>90000</v>
      </c>
      <c r="N9" s="24" t="n">
        <f aca="false">Вводные!$B$13</f>
        <v>12000</v>
      </c>
      <c r="O9" s="24" t="n">
        <f aca="false">F9-SUM(G9:N9)</f>
        <v>-7200</v>
      </c>
      <c r="P9" s="24" t="n">
        <f aca="false">IF(Вводные!$B$14="УСН доходы",F9*Вводные!$B$16,MAX(0,O9)*Вводные!$B$15)</f>
        <v>0</v>
      </c>
      <c r="Q9" s="24" t="n">
        <f aca="false">O9-P9</f>
        <v>-7200</v>
      </c>
      <c r="R9" s="24" t="n">
        <f aca="false">Q9+IF(Вводные!$B$12=1,M9,0)</f>
        <v>82800</v>
      </c>
      <c r="S9" s="24" t="n">
        <f aca="false">S8+R9</f>
        <v>-3719000</v>
      </c>
    </row>
    <row r="10" customFormat="false" ht="15" hidden="false" customHeight="false" outlineLevel="0" collapsed="false">
      <c r="A10" s="8" t="n">
        <v>7</v>
      </c>
      <c r="B10" s="8" t="n">
        <f aca="false">MOD(Вводные!$B$3+A10-2,12)+1</f>
        <v>9</v>
      </c>
      <c r="C10" s="23" t="n">
        <f aca="false">IF(A10&lt;=12,INDEX(Вводные!$B$22:$B$33,A10),1)</f>
        <v>1</v>
      </c>
      <c r="D10" s="23" t="n">
        <f aca="false">INDEX(Вводные!$E$22:$E$33,B10)</f>
        <v>1</v>
      </c>
      <c r="E10" s="23" t="n">
        <f aca="false">MIN(C10,D10)</f>
        <v>1</v>
      </c>
      <c r="F10" s="24" t="n">
        <f aca="false">Вводные!$B$4*E10</f>
        <v>1200000</v>
      </c>
      <c r="G10" s="24" t="n">
        <f aca="false">F10*Вводные!$B$5</f>
        <v>360000</v>
      </c>
      <c r="H10" s="24" t="n">
        <f aca="false">F10*Вводные!$B$6</f>
        <v>60000</v>
      </c>
      <c r="I10" s="24" t="n">
        <f aca="false">F10*Вводные!$B$7</f>
        <v>24000</v>
      </c>
      <c r="J10" s="24" t="n">
        <f aca="false">Вводные!$B$8</f>
        <v>150000</v>
      </c>
      <c r="K10" s="24" t="n">
        <f aca="false">Вводные!$B$9</f>
        <v>300000</v>
      </c>
      <c r="L10" s="24" t="n">
        <f aca="false">Вводные!$B$10</f>
        <v>60000</v>
      </c>
      <c r="M10" s="24" t="n">
        <f aca="false">Вводные!$B$11</f>
        <v>90000</v>
      </c>
      <c r="N10" s="24" t="n">
        <f aca="false">Вводные!$B$13</f>
        <v>12000</v>
      </c>
      <c r="O10" s="24" t="n">
        <f aca="false">F10-SUM(G10:N10)</f>
        <v>144000</v>
      </c>
      <c r="P10" s="24" t="n">
        <f aca="false">IF(Вводные!$B$14="УСН доходы",F10*Вводные!$B$16,MAX(0,O10)*Вводные!$B$15)</f>
        <v>21600</v>
      </c>
      <c r="Q10" s="24" t="n">
        <f aca="false">O10-P10</f>
        <v>122400</v>
      </c>
      <c r="R10" s="24" t="n">
        <f aca="false">Q10+IF(Вводные!$B$12=1,M10,0)</f>
        <v>212400</v>
      </c>
      <c r="S10" s="24" t="n">
        <f aca="false">S9+R10</f>
        <v>-3506600</v>
      </c>
    </row>
    <row r="11" customFormat="false" ht="15" hidden="false" customHeight="false" outlineLevel="0" collapsed="false">
      <c r="A11" s="8" t="n">
        <v>8</v>
      </c>
      <c r="B11" s="8" t="n">
        <f aca="false">MOD(Вводные!$B$3+A11-2,12)+1</f>
        <v>10</v>
      </c>
      <c r="C11" s="23" t="n">
        <f aca="false">IF(A11&lt;=12,INDEX(Вводные!$B$22:$B$33,A11),1)</f>
        <v>1</v>
      </c>
      <c r="D11" s="23" t="n">
        <f aca="false">INDEX(Вводные!$E$22:$E$33,B11)</f>
        <v>1</v>
      </c>
      <c r="E11" s="23" t="n">
        <f aca="false">MIN(C11,D11)</f>
        <v>1</v>
      </c>
      <c r="F11" s="24" t="n">
        <f aca="false">Вводные!$B$4*E11</f>
        <v>1200000</v>
      </c>
      <c r="G11" s="24" t="n">
        <f aca="false">F11*Вводные!$B$5</f>
        <v>360000</v>
      </c>
      <c r="H11" s="24" t="n">
        <f aca="false">F11*Вводные!$B$6</f>
        <v>60000</v>
      </c>
      <c r="I11" s="24" t="n">
        <f aca="false">F11*Вводные!$B$7</f>
        <v>24000</v>
      </c>
      <c r="J11" s="24" t="n">
        <f aca="false">Вводные!$B$8</f>
        <v>150000</v>
      </c>
      <c r="K11" s="24" t="n">
        <f aca="false">Вводные!$B$9</f>
        <v>300000</v>
      </c>
      <c r="L11" s="24" t="n">
        <f aca="false">Вводные!$B$10</f>
        <v>60000</v>
      </c>
      <c r="M11" s="24" t="n">
        <f aca="false">Вводные!$B$11</f>
        <v>90000</v>
      </c>
      <c r="N11" s="24" t="n">
        <f aca="false">Вводные!$B$13</f>
        <v>12000</v>
      </c>
      <c r="O11" s="24" t="n">
        <f aca="false">F11-SUM(G11:N11)</f>
        <v>144000</v>
      </c>
      <c r="P11" s="24" t="n">
        <f aca="false">IF(Вводные!$B$14="УСН доходы",F11*Вводные!$B$16,MAX(0,O11)*Вводные!$B$15)</f>
        <v>21600</v>
      </c>
      <c r="Q11" s="24" t="n">
        <f aca="false">O11-P11</f>
        <v>122400</v>
      </c>
      <c r="R11" s="24" t="n">
        <f aca="false">Q11+IF(Вводные!$B$12=1,M11,0)</f>
        <v>212400</v>
      </c>
      <c r="S11" s="24" t="n">
        <f aca="false">S10+R11</f>
        <v>-3294200</v>
      </c>
    </row>
    <row r="12" customFormat="false" ht="15" hidden="false" customHeight="false" outlineLevel="0" collapsed="false">
      <c r="A12" s="8" t="n">
        <v>9</v>
      </c>
      <c r="B12" s="8" t="n">
        <f aca="false">MOD(Вводные!$B$3+A12-2,12)+1</f>
        <v>11</v>
      </c>
      <c r="C12" s="23" t="n">
        <f aca="false">IF(A12&lt;=12,INDEX(Вводные!$B$22:$B$33,A12),1)</f>
        <v>1</v>
      </c>
      <c r="D12" s="23" t="n">
        <f aca="false">INDEX(Вводные!$E$22:$E$33,B12)</f>
        <v>1</v>
      </c>
      <c r="E12" s="23" t="n">
        <f aca="false">MIN(C12,D12)</f>
        <v>1</v>
      </c>
      <c r="F12" s="24" t="n">
        <f aca="false">Вводные!$B$4*E12</f>
        <v>1200000</v>
      </c>
      <c r="G12" s="24" t="n">
        <f aca="false">F12*Вводные!$B$5</f>
        <v>360000</v>
      </c>
      <c r="H12" s="24" t="n">
        <f aca="false">F12*Вводные!$B$6</f>
        <v>60000</v>
      </c>
      <c r="I12" s="24" t="n">
        <f aca="false">F12*Вводные!$B$7</f>
        <v>24000</v>
      </c>
      <c r="J12" s="24" t="n">
        <f aca="false">Вводные!$B$8</f>
        <v>150000</v>
      </c>
      <c r="K12" s="24" t="n">
        <f aca="false">Вводные!$B$9</f>
        <v>300000</v>
      </c>
      <c r="L12" s="24" t="n">
        <f aca="false">Вводные!$B$10</f>
        <v>60000</v>
      </c>
      <c r="M12" s="24" t="n">
        <f aca="false">Вводные!$B$11</f>
        <v>90000</v>
      </c>
      <c r="N12" s="24" t="n">
        <f aca="false">Вводные!$B$13</f>
        <v>12000</v>
      </c>
      <c r="O12" s="24" t="n">
        <f aca="false">F12-SUM(G12:N12)</f>
        <v>144000</v>
      </c>
      <c r="P12" s="24" t="n">
        <f aca="false">IF(Вводные!$B$14="УСН доходы",F12*Вводные!$B$16,MAX(0,O12)*Вводные!$B$15)</f>
        <v>21600</v>
      </c>
      <c r="Q12" s="24" t="n">
        <f aca="false">O12-P12</f>
        <v>122400</v>
      </c>
      <c r="R12" s="24" t="n">
        <f aca="false">Q12+IF(Вводные!$B$12=1,M12,0)</f>
        <v>212400</v>
      </c>
      <c r="S12" s="24" t="n">
        <f aca="false">S11+R12</f>
        <v>-3081800</v>
      </c>
    </row>
    <row r="13" customFormat="false" ht="15" hidden="false" customHeight="false" outlineLevel="0" collapsed="false">
      <c r="A13" s="8" t="n">
        <v>10</v>
      </c>
      <c r="B13" s="8" t="n">
        <f aca="false">MOD(Вводные!$B$3+A13-2,12)+1</f>
        <v>12</v>
      </c>
      <c r="C13" s="23" t="n">
        <f aca="false">IF(A13&lt;=12,INDEX(Вводные!$B$22:$B$33,A13),1)</f>
        <v>1</v>
      </c>
      <c r="D13" s="23" t="n">
        <f aca="false">INDEX(Вводные!$E$22:$E$33,B13)</f>
        <v>1</v>
      </c>
      <c r="E13" s="23" t="n">
        <f aca="false">MIN(C13,D13)</f>
        <v>1</v>
      </c>
      <c r="F13" s="24" t="n">
        <f aca="false">Вводные!$B$4*E13</f>
        <v>1200000</v>
      </c>
      <c r="G13" s="24" t="n">
        <f aca="false">F13*Вводные!$B$5</f>
        <v>360000</v>
      </c>
      <c r="H13" s="24" t="n">
        <f aca="false">F13*Вводные!$B$6</f>
        <v>60000</v>
      </c>
      <c r="I13" s="24" t="n">
        <f aca="false">F13*Вводные!$B$7</f>
        <v>24000</v>
      </c>
      <c r="J13" s="24" t="n">
        <f aca="false">Вводные!$B$8</f>
        <v>150000</v>
      </c>
      <c r="K13" s="24" t="n">
        <f aca="false">Вводные!$B$9</f>
        <v>300000</v>
      </c>
      <c r="L13" s="24" t="n">
        <f aca="false">Вводные!$B$10</f>
        <v>60000</v>
      </c>
      <c r="M13" s="24" t="n">
        <f aca="false">Вводные!$B$11</f>
        <v>90000</v>
      </c>
      <c r="N13" s="24" t="n">
        <f aca="false">Вводные!$B$13</f>
        <v>12000</v>
      </c>
      <c r="O13" s="24" t="n">
        <f aca="false">F13-SUM(G13:N13)</f>
        <v>144000</v>
      </c>
      <c r="P13" s="24" t="n">
        <f aca="false">IF(Вводные!$B$14="УСН доходы",F13*Вводные!$B$16,MAX(0,O13)*Вводные!$B$15)</f>
        <v>21600</v>
      </c>
      <c r="Q13" s="24" t="n">
        <f aca="false">O13-P13</f>
        <v>122400</v>
      </c>
      <c r="R13" s="24" t="n">
        <f aca="false">Q13+IF(Вводные!$B$12=1,M13,0)</f>
        <v>212400</v>
      </c>
      <c r="S13" s="24" t="n">
        <f aca="false">S12+R13</f>
        <v>-2869400</v>
      </c>
    </row>
    <row r="14" customFormat="false" ht="15" hidden="false" customHeight="false" outlineLevel="0" collapsed="false">
      <c r="A14" s="8" t="n">
        <v>11</v>
      </c>
      <c r="B14" s="8" t="n">
        <f aca="false">MOD(Вводные!$B$3+A14-2,12)+1</f>
        <v>1</v>
      </c>
      <c r="C14" s="23" t="n">
        <f aca="false">IF(A14&lt;=12,INDEX(Вводные!$B$22:$B$33,A14),1)</f>
        <v>1</v>
      </c>
      <c r="D14" s="23" t="n">
        <f aca="false">INDEX(Вводные!$E$22:$E$33,B14)</f>
        <v>0.85</v>
      </c>
      <c r="E14" s="23" t="n">
        <f aca="false">MIN(C14,D14)</f>
        <v>0.85</v>
      </c>
      <c r="F14" s="24" t="n">
        <f aca="false">Вводные!$B$4*E14</f>
        <v>1020000</v>
      </c>
      <c r="G14" s="24" t="n">
        <f aca="false">F14*Вводные!$B$5</f>
        <v>306000</v>
      </c>
      <c r="H14" s="24" t="n">
        <f aca="false">F14*Вводные!$B$6</f>
        <v>51000</v>
      </c>
      <c r="I14" s="24" t="n">
        <f aca="false">F14*Вводные!$B$7</f>
        <v>20400</v>
      </c>
      <c r="J14" s="24" t="n">
        <f aca="false">Вводные!$B$8</f>
        <v>150000</v>
      </c>
      <c r="K14" s="24" t="n">
        <f aca="false">Вводные!$B$9</f>
        <v>300000</v>
      </c>
      <c r="L14" s="24" t="n">
        <f aca="false">Вводные!$B$10</f>
        <v>60000</v>
      </c>
      <c r="M14" s="24" t="n">
        <f aca="false">Вводные!$B$11</f>
        <v>90000</v>
      </c>
      <c r="N14" s="24" t="n">
        <f aca="false">Вводные!$B$13</f>
        <v>12000</v>
      </c>
      <c r="O14" s="24" t="n">
        <f aca="false">F14-SUM(G14:N14)</f>
        <v>30600</v>
      </c>
      <c r="P14" s="24" t="n">
        <f aca="false">IF(Вводные!$B$14="УСН доходы",F14*Вводные!$B$16,MAX(0,O14)*Вводные!$B$15)</f>
        <v>4590</v>
      </c>
      <c r="Q14" s="24" t="n">
        <f aca="false">O14-P14</f>
        <v>26010</v>
      </c>
      <c r="R14" s="24" t="n">
        <f aca="false">Q14+IF(Вводные!$B$12=1,M14,0)</f>
        <v>116010</v>
      </c>
      <c r="S14" s="24" t="n">
        <f aca="false">S13+R14</f>
        <v>-2753390</v>
      </c>
    </row>
    <row r="15" customFormat="false" ht="15" hidden="false" customHeight="false" outlineLevel="0" collapsed="false">
      <c r="A15" s="8" t="n">
        <v>12</v>
      </c>
      <c r="B15" s="8" t="n">
        <f aca="false">MOD(Вводные!$B$3+A15-2,12)+1</f>
        <v>2</v>
      </c>
      <c r="C15" s="23" t="n">
        <f aca="false">IF(A15&lt;=12,INDEX(Вводные!$B$22:$B$33,A15),1)</f>
        <v>1</v>
      </c>
      <c r="D15" s="23" t="n">
        <f aca="false">INDEX(Вводные!$E$22:$E$33,B15)</f>
        <v>0.95</v>
      </c>
      <c r="E15" s="23" t="n">
        <f aca="false">MIN(C15,D15)</f>
        <v>0.95</v>
      </c>
      <c r="F15" s="24" t="n">
        <f aca="false">Вводные!$B$4*E15</f>
        <v>1140000</v>
      </c>
      <c r="G15" s="24" t="n">
        <f aca="false">F15*Вводные!$B$5</f>
        <v>342000</v>
      </c>
      <c r="H15" s="24" t="n">
        <f aca="false">F15*Вводные!$B$6</f>
        <v>57000</v>
      </c>
      <c r="I15" s="24" t="n">
        <f aca="false">F15*Вводные!$B$7</f>
        <v>22800</v>
      </c>
      <c r="J15" s="24" t="n">
        <f aca="false">Вводные!$B$8</f>
        <v>150000</v>
      </c>
      <c r="K15" s="24" t="n">
        <f aca="false">Вводные!$B$9</f>
        <v>300000</v>
      </c>
      <c r="L15" s="24" t="n">
        <f aca="false">Вводные!$B$10</f>
        <v>60000</v>
      </c>
      <c r="M15" s="24" t="n">
        <f aca="false">Вводные!$B$11</f>
        <v>90000</v>
      </c>
      <c r="N15" s="24" t="n">
        <f aca="false">Вводные!$B$13</f>
        <v>12000</v>
      </c>
      <c r="O15" s="24" t="n">
        <f aca="false">F15-SUM(G15:N15)</f>
        <v>106200</v>
      </c>
      <c r="P15" s="24" t="n">
        <f aca="false">IF(Вводные!$B$14="УСН доходы",F15*Вводные!$B$16,MAX(0,O15)*Вводные!$B$15)</f>
        <v>15930</v>
      </c>
      <c r="Q15" s="24" t="n">
        <f aca="false">O15-P15</f>
        <v>90270</v>
      </c>
      <c r="R15" s="24" t="n">
        <f aca="false">Q15+IF(Вводные!$B$12=1,M15,0)</f>
        <v>180270</v>
      </c>
      <c r="S15" s="24" t="n">
        <f aca="false">S14+R15</f>
        <v>-2573120</v>
      </c>
    </row>
    <row r="16" customFormat="false" ht="15" hidden="false" customHeight="false" outlineLevel="0" collapsed="false">
      <c r="A16" s="8" t="n">
        <v>13</v>
      </c>
      <c r="B16" s="8" t="n">
        <f aca="false">MOD(Вводные!$B$3+A16-2,12)+1</f>
        <v>3</v>
      </c>
      <c r="C16" s="23" t="n">
        <f aca="false">IF(A16&lt;=12,INDEX(Вводные!$B$22:$B$33,A16),1)</f>
        <v>1</v>
      </c>
      <c r="D16" s="23" t="n">
        <f aca="false">INDEX(Вводные!$E$22:$E$33,B16)</f>
        <v>0.95</v>
      </c>
      <c r="E16" s="23" t="n">
        <f aca="false">MIN(C16,D16)</f>
        <v>0.95</v>
      </c>
      <c r="F16" s="24" t="n">
        <f aca="false">Вводные!$B$4*E16</f>
        <v>1140000</v>
      </c>
      <c r="G16" s="24" t="n">
        <f aca="false">F16*Вводные!$B$5</f>
        <v>342000</v>
      </c>
      <c r="H16" s="24" t="n">
        <f aca="false">F16*Вводные!$B$6</f>
        <v>57000</v>
      </c>
      <c r="I16" s="24" t="n">
        <f aca="false">F16*Вводные!$B$7</f>
        <v>22800</v>
      </c>
      <c r="J16" s="24" t="n">
        <f aca="false">Вводные!$B$8</f>
        <v>150000</v>
      </c>
      <c r="K16" s="24" t="n">
        <f aca="false">Вводные!$B$9</f>
        <v>300000</v>
      </c>
      <c r="L16" s="24" t="n">
        <f aca="false">Вводные!$B$10</f>
        <v>60000</v>
      </c>
      <c r="M16" s="24" t="n">
        <f aca="false">Вводные!$B$11</f>
        <v>90000</v>
      </c>
      <c r="N16" s="24" t="n">
        <f aca="false">Вводные!$B$13</f>
        <v>12000</v>
      </c>
      <c r="O16" s="24" t="n">
        <f aca="false">F16-SUM(G16:N16)</f>
        <v>106200</v>
      </c>
      <c r="P16" s="24" t="n">
        <f aca="false">IF(Вводные!$B$14="УСН доходы",F16*Вводные!$B$16,MAX(0,O16)*Вводные!$B$15)</f>
        <v>15930</v>
      </c>
      <c r="Q16" s="24" t="n">
        <f aca="false">O16-P16</f>
        <v>90270</v>
      </c>
      <c r="R16" s="24" t="n">
        <f aca="false">Q16+IF(Вводные!$B$12=1,M16,0)</f>
        <v>180270</v>
      </c>
      <c r="S16" s="24" t="n">
        <f aca="false">S15+R16</f>
        <v>-2392850</v>
      </c>
    </row>
    <row r="17" customFormat="false" ht="15" hidden="false" customHeight="false" outlineLevel="0" collapsed="false">
      <c r="A17" s="8" t="n">
        <v>14</v>
      </c>
      <c r="B17" s="8" t="n">
        <f aca="false">MOD(Вводные!$B$3+A17-2,12)+1</f>
        <v>4</v>
      </c>
      <c r="C17" s="23" t="n">
        <f aca="false">IF(A17&lt;=12,INDEX(Вводные!$B$22:$B$33,A17),1)</f>
        <v>1</v>
      </c>
      <c r="D17" s="23" t="n">
        <f aca="false">INDEX(Вводные!$E$22:$E$33,B17)</f>
        <v>0.95</v>
      </c>
      <c r="E17" s="23" t="n">
        <f aca="false">MIN(C17,D17)</f>
        <v>0.95</v>
      </c>
      <c r="F17" s="24" t="n">
        <f aca="false">Вводные!$B$4*E17</f>
        <v>1140000</v>
      </c>
      <c r="G17" s="24" t="n">
        <f aca="false">F17*Вводные!$B$5</f>
        <v>342000</v>
      </c>
      <c r="H17" s="24" t="n">
        <f aca="false">F17*Вводные!$B$6</f>
        <v>57000</v>
      </c>
      <c r="I17" s="24" t="n">
        <f aca="false">F17*Вводные!$B$7</f>
        <v>22800</v>
      </c>
      <c r="J17" s="24" t="n">
        <f aca="false">Вводные!$B$8</f>
        <v>150000</v>
      </c>
      <c r="K17" s="24" t="n">
        <f aca="false">Вводные!$B$9</f>
        <v>300000</v>
      </c>
      <c r="L17" s="24" t="n">
        <f aca="false">Вводные!$B$10</f>
        <v>60000</v>
      </c>
      <c r="M17" s="24" t="n">
        <f aca="false">Вводные!$B$11</f>
        <v>90000</v>
      </c>
      <c r="N17" s="24" t="n">
        <f aca="false">Вводные!$B$13</f>
        <v>12000</v>
      </c>
      <c r="O17" s="24" t="n">
        <f aca="false">F17-SUM(G17:N17)</f>
        <v>106200</v>
      </c>
      <c r="P17" s="24" t="n">
        <f aca="false">IF(Вводные!$B$14="УСН доходы",F17*Вводные!$B$16,MAX(0,O17)*Вводные!$B$15)</f>
        <v>15930</v>
      </c>
      <c r="Q17" s="24" t="n">
        <f aca="false">O17-P17</f>
        <v>90270</v>
      </c>
      <c r="R17" s="24" t="n">
        <f aca="false">Q17+IF(Вводные!$B$12=1,M17,0)</f>
        <v>180270</v>
      </c>
      <c r="S17" s="24" t="n">
        <f aca="false">S16+R17</f>
        <v>-2212580</v>
      </c>
    </row>
    <row r="18" customFormat="false" ht="15" hidden="false" customHeight="false" outlineLevel="0" collapsed="false">
      <c r="A18" s="8" t="n">
        <v>15</v>
      </c>
      <c r="B18" s="8" t="n">
        <f aca="false">MOD(Вводные!$B$3+A18-2,12)+1</f>
        <v>5</v>
      </c>
      <c r="C18" s="23" t="n">
        <f aca="false">IF(A18&lt;=12,INDEX(Вводные!$B$22:$B$33,A18),1)</f>
        <v>1</v>
      </c>
      <c r="D18" s="23" t="n">
        <f aca="false">INDEX(Вводные!$E$22:$E$33,B18)</f>
        <v>0.9</v>
      </c>
      <c r="E18" s="23" t="n">
        <f aca="false">MIN(C18,D18)</f>
        <v>0.9</v>
      </c>
      <c r="F18" s="24" t="n">
        <f aca="false">Вводные!$B$4*E18</f>
        <v>1080000</v>
      </c>
      <c r="G18" s="24" t="n">
        <f aca="false">F18*Вводные!$B$5</f>
        <v>324000</v>
      </c>
      <c r="H18" s="24" t="n">
        <f aca="false">F18*Вводные!$B$6</f>
        <v>54000</v>
      </c>
      <c r="I18" s="24" t="n">
        <f aca="false">F18*Вводные!$B$7</f>
        <v>21600</v>
      </c>
      <c r="J18" s="24" t="n">
        <f aca="false">Вводные!$B$8</f>
        <v>150000</v>
      </c>
      <c r="K18" s="24" t="n">
        <f aca="false">Вводные!$B$9</f>
        <v>300000</v>
      </c>
      <c r="L18" s="24" t="n">
        <f aca="false">Вводные!$B$10</f>
        <v>60000</v>
      </c>
      <c r="M18" s="24" t="n">
        <f aca="false">Вводные!$B$11</f>
        <v>90000</v>
      </c>
      <c r="N18" s="24" t="n">
        <f aca="false">Вводные!$B$13</f>
        <v>12000</v>
      </c>
      <c r="O18" s="24" t="n">
        <f aca="false">F18-SUM(G18:N18)</f>
        <v>68400</v>
      </c>
      <c r="P18" s="24" t="n">
        <f aca="false">IF(Вводные!$B$14="УСН доходы",F18*Вводные!$B$16,MAX(0,O18)*Вводные!$B$15)</f>
        <v>10260</v>
      </c>
      <c r="Q18" s="24" t="n">
        <f aca="false">O18-P18</f>
        <v>58140</v>
      </c>
      <c r="R18" s="24" t="n">
        <f aca="false">Q18+IF(Вводные!$B$12=1,M18,0)</f>
        <v>148140</v>
      </c>
      <c r="S18" s="24" t="n">
        <f aca="false">S17+R18</f>
        <v>-2064440</v>
      </c>
    </row>
    <row r="19" customFormat="false" ht="15" hidden="false" customHeight="false" outlineLevel="0" collapsed="false">
      <c r="A19" s="8" t="n">
        <v>16</v>
      </c>
      <c r="B19" s="8" t="n">
        <f aca="false">MOD(Вводные!$B$3+A19-2,12)+1</f>
        <v>6</v>
      </c>
      <c r="C19" s="23" t="n">
        <f aca="false">IF(A19&lt;=12,INDEX(Вводные!$B$22:$B$33,A19),1)</f>
        <v>1</v>
      </c>
      <c r="D19" s="23" t="n">
        <f aca="false">INDEX(Вводные!$E$22:$E$33,B19)</f>
        <v>0.8</v>
      </c>
      <c r="E19" s="23" t="n">
        <f aca="false">MIN(C19,D19)</f>
        <v>0.8</v>
      </c>
      <c r="F19" s="24" t="n">
        <f aca="false">Вводные!$B$4*E19</f>
        <v>960000</v>
      </c>
      <c r="G19" s="24" t="n">
        <f aca="false">F19*Вводные!$B$5</f>
        <v>288000</v>
      </c>
      <c r="H19" s="24" t="n">
        <f aca="false">F19*Вводные!$B$6</f>
        <v>48000</v>
      </c>
      <c r="I19" s="24" t="n">
        <f aca="false">F19*Вводные!$B$7</f>
        <v>19200</v>
      </c>
      <c r="J19" s="24" t="n">
        <f aca="false">Вводные!$B$8</f>
        <v>150000</v>
      </c>
      <c r="K19" s="24" t="n">
        <f aca="false">Вводные!$B$9</f>
        <v>300000</v>
      </c>
      <c r="L19" s="24" t="n">
        <f aca="false">Вводные!$B$10</f>
        <v>60000</v>
      </c>
      <c r="M19" s="24" t="n">
        <f aca="false">Вводные!$B$11</f>
        <v>90000</v>
      </c>
      <c r="N19" s="24" t="n">
        <f aca="false">Вводные!$B$13</f>
        <v>12000</v>
      </c>
      <c r="O19" s="24" t="n">
        <f aca="false">F19-SUM(G19:N19)</f>
        <v>-7200</v>
      </c>
      <c r="P19" s="24" t="n">
        <f aca="false">IF(Вводные!$B$14="УСН доходы",F19*Вводные!$B$16,MAX(0,O19)*Вводные!$B$15)</f>
        <v>0</v>
      </c>
      <c r="Q19" s="24" t="n">
        <f aca="false">O19-P19</f>
        <v>-7200</v>
      </c>
      <c r="R19" s="24" t="n">
        <f aca="false">Q19+IF(Вводные!$B$12=1,M19,0)</f>
        <v>82800</v>
      </c>
      <c r="S19" s="24" t="n">
        <f aca="false">S18+R19</f>
        <v>-1981640</v>
      </c>
    </row>
    <row r="20" customFormat="false" ht="15" hidden="false" customHeight="false" outlineLevel="0" collapsed="false">
      <c r="A20" s="8" t="n">
        <v>17</v>
      </c>
      <c r="B20" s="8" t="n">
        <f aca="false">MOD(Вводные!$B$3+A20-2,12)+1</f>
        <v>7</v>
      </c>
      <c r="C20" s="23" t="n">
        <f aca="false">IF(A20&lt;=12,INDEX(Вводные!$B$22:$B$33,A20),1)</f>
        <v>1</v>
      </c>
      <c r="D20" s="23" t="n">
        <f aca="false">INDEX(Вводные!$E$22:$E$33,B20)</f>
        <v>0.7</v>
      </c>
      <c r="E20" s="23" t="n">
        <f aca="false">MIN(C20,D20)</f>
        <v>0.7</v>
      </c>
      <c r="F20" s="24" t="n">
        <f aca="false">Вводные!$B$4*E20</f>
        <v>840000</v>
      </c>
      <c r="G20" s="24" t="n">
        <f aca="false">F20*Вводные!$B$5</f>
        <v>252000</v>
      </c>
      <c r="H20" s="24" t="n">
        <f aca="false">F20*Вводные!$B$6</f>
        <v>42000</v>
      </c>
      <c r="I20" s="24" t="n">
        <f aca="false">F20*Вводные!$B$7</f>
        <v>16800</v>
      </c>
      <c r="J20" s="24" t="n">
        <f aca="false">Вводные!$B$8</f>
        <v>150000</v>
      </c>
      <c r="K20" s="24" t="n">
        <f aca="false">Вводные!$B$9</f>
        <v>300000</v>
      </c>
      <c r="L20" s="24" t="n">
        <f aca="false">Вводные!$B$10</f>
        <v>60000</v>
      </c>
      <c r="M20" s="24" t="n">
        <f aca="false">Вводные!$B$11</f>
        <v>90000</v>
      </c>
      <c r="N20" s="24" t="n">
        <f aca="false">Вводные!$B$13</f>
        <v>12000</v>
      </c>
      <c r="O20" s="24" t="n">
        <f aca="false">F20-SUM(G20:N20)</f>
        <v>-82800</v>
      </c>
      <c r="P20" s="24" t="n">
        <f aca="false">IF(Вводные!$B$14="УСН доходы",F20*Вводные!$B$16,MAX(0,O20)*Вводные!$B$15)</f>
        <v>0</v>
      </c>
      <c r="Q20" s="24" t="n">
        <f aca="false">O20-P20</f>
        <v>-82800</v>
      </c>
      <c r="R20" s="24" t="n">
        <f aca="false">Q20+IF(Вводные!$B$12=1,M20,0)</f>
        <v>7200</v>
      </c>
      <c r="S20" s="24" t="n">
        <f aca="false">S19+R20</f>
        <v>-1974440</v>
      </c>
    </row>
    <row r="21" customFormat="false" ht="15" hidden="false" customHeight="false" outlineLevel="0" collapsed="false">
      <c r="A21" s="8" t="n">
        <v>18</v>
      </c>
      <c r="B21" s="8" t="n">
        <f aca="false">MOD(Вводные!$B$3+A21-2,12)+1</f>
        <v>8</v>
      </c>
      <c r="C21" s="23" t="n">
        <f aca="false">IF(A21&lt;=12,INDEX(Вводные!$B$22:$B$33,A21),1)</f>
        <v>1</v>
      </c>
      <c r="D21" s="23" t="n">
        <f aca="false">INDEX(Вводные!$E$22:$E$33,B21)</f>
        <v>0.8</v>
      </c>
      <c r="E21" s="23" t="n">
        <f aca="false">MIN(C21,D21)</f>
        <v>0.8</v>
      </c>
      <c r="F21" s="24" t="n">
        <f aca="false">Вводные!$B$4*E21</f>
        <v>960000</v>
      </c>
      <c r="G21" s="24" t="n">
        <f aca="false">F21*Вводные!$B$5</f>
        <v>288000</v>
      </c>
      <c r="H21" s="24" t="n">
        <f aca="false">F21*Вводные!$B$6</f>
        <v>48000</v>
      </c>
      <c r="I21" s="24" t="n">
        <f aca="false">F21*Вводные!$B$7</f>
        <v>19200</v>
      </c>
      <c r="J21" s="24" t="n">
        <f aca="false">Вводные!$B$8</f>
        <v>150000</v>
      </c>
      <c r="K21" s="24" t="n">
        <f aca="false">Вводные!$B$9</f>
        <v>300000</v>
      </c>
      <c r="L21" s="24" t="n">
        <f aca="false">Вводные!$B$10</f>
        <v>60000</v>
      </c>
      <c r="M21" s="24" t="n">
        <f aca="false">Вводные!$B$11</f>
        <v>90000</v>
      </c>
      <c r="N21" s="24" t="n">
        <f aca="false">Вводные!$B$13</f>
        <v>12000</v>
      </c>
      <c r="O21" s="24" t="n">
        <f aca="false">F21-SUM(G21:N21)</f>
        <v>-7200</v>
      </c>
      <c r="P21" s="24" t="n">
        <f aca="false">IF(Вводные!$B$14="УСН доходы",F21*Вводные!$B$16,MAX(0,O21)*Вводные!$B$15)</f>
        <v>0</v>
      </c>
      <c r="Q21" s="24" t="n">
        <f aca="false">O21-P21</f>
        <v>-7200</v>
      </c>
      <c r="R21" s="24" t="n">
        <f aca="false">Q21+IF(Вводные!$B$12=1,M21,0)</f>
        <v>82800</v>
      </c>
      <c r="S21" s="24" t="n">
        <f aca="false">S20+R21</f>
        <v>-1891640</v>
      </c>
    </row>
    <row r="22" customFormat="false" ht="15" hidden="false" customHeight="false" outlineLevel="0" collapsed="false">
      <c r="A22" s="8" t="n">
        <v>19</v>
      </c>
      <c r="B22" s="8" t="n">
        <f aca="false">MOD(Вводные!$B$3+A22-2,12)+1</f>
        <v>9</v>
      </c>
      <c r="C22" s="23" t="n">
        <f aca="false">IF(A22&lt;=12,INDEX(Вводные!$B$22:$B$33,A22),1)</f>
        <v>1</v>
      </c>
      <c r="D22" s="23" t="n">
        <f aca="false">INDEX(Вводные!$E$22:$E$33,B22)</f>
        <v>1</v>
      </c>
      <c r="E22" s="23" t="n">
        <f aca="false">MIN(C22,D22)</f>
        <v>1</v>
      </c>
      <c r="F22" s="24" t="n">
        <f aca="false">Вводные!$B$4*E22</f>
        <v>1200000</v>
      </c>
      <c r="G22" s="24" t="n">
        <f aca="false">F22*Вводные!$B$5</f>
        <v>360000</v>
      </c>
      <c r="H22" s="24" t="n">
        <f aca="false">F22*Вводные!$B$6</f>
        <v>60000</v>
      </c>
      <c r="I22" s="24" t="n">
        <f aca="false">F22*Вводные!$B$7</f>
        <v>24000</v>
      </c>
      <c r="J22" s="24" t="n">
        <f aca="false">Вводные!$B$8</f>
        <v>150000</v>
      </c>
      <c r="K22" s="24" t="n">
        <f aca="false">Вводные!$B$9</f>
        <v>300000</v>
      </c>
      <c r="L22" s="24" t="n">
        <f aca="false">Вводные!$B$10</f>
        <v>60000</v>
      </c>
      <c r="M22" s="24" t="n">
        <f aca="false">Вводные!$B$11</f>
        <v>90000</v>
      </c>
      <c r="N22" s="24" t="n">
        <f aca="false">Вводные!$B$13</f>
        <v>12000</v>
      </c>
      <c r="O22" s="24" t="n">
        <f aca="false">F22-SUM(G22:N22)</f>
        <v>144000</v>
      </c>
      <c r="P22" s="24" t="n">
        <f aca="false">IF(Вводные!$B$14="УСН доходы",F22*Вводные!$B$16,MAX(0,O22)*Вводные!$B$15)</f>
        <v>21600</v>
      </c>
      <c r="Q22" s="24" t="n">
        <f aca="false">O22-P22</f>
        <v>122400</v>
      </c>
      <c r="R22" s="24" t="n">
        <f aca="false">Q22+IF(Вводные!$B$12=1,M22,0)</f>
        <v>212400</v>
      </c>
      <c r="S22" s="24" t="n">
        <f aca="false">S21+R22</f>
        <v>-1679240</v>
      </c>
    </row>
    <row r="23" customFormat="false" ht="15" hidden="false" customHeight="false" outlineLevel="0" collapsed="false">
      <c r="A23" s="8" t="n">
        <v>20</v>
      </c>
      <c r="B23" s="8" t="n">
        <f aca="false">MOD(Вводные!$B$3+A23-2,12)+1</f>
        <v>10</v>
      </c>
      <c r="C23" s="23" t="n">
        <f aca="false">IF(A23&lt;=12,INDEX(Вводные!$B$22:$B$33,A23),1)</f>
        <v>1</v>
      </c>
      <c r="D23" s="23" t="n">
        <f aca="false">INDEX(Вводные!$E$22:$E$33,B23)</f>
        <v>1</v>
      </c>
      <c r="E23" s="23" t="n">
        <f aca="false">MIN(C23,D23)</f>
        <v>1</v>
      </c>
      <c r="F23" s="24" t="n">
        <f aca="false">Вводные!$B$4*E23</f>
        <v>1200000</v>
      </c>
      <c r="G23" s="24" t="n">
        <f aca="false">F23*Вводные!$B$5</f>
        <v>360000</v>
      </c>
      <c r="H23" s="24" t="n">
        <f aca="false">F23*Вводные!$B$6</f>
        <v>60000</v>
      </c>
      <c r="I23" s="24" t="n">
        <f aca="false">F23*Вводные!$B$7</f>
        <v>24000</v>
      </c>
      <c r="J23" s="24" t="n">
        <f aca="false">Вводные!$B$8</f>
        <v>150000</v>
      </c>
      <c r="K23" s="24" t="n">
        <f aca="false">Вводные!$B$9</f>
        <v>300000</v>
      </c>
      <c r="L23" s="24" t="n">
        <f aca="false">Вводные!$B$10</f>
        <v>60000</v>
      </c>
      <c r="M23" s="24" t="n">
        <f aca="false">Вводные!$B$11</f>
        <v>90000</v>
      </c>
      <c r="N23" s="24" t="n">
        <f aca="false">Вводные!$B$13</f>
        <v>12000</v>
      </c>
      <c r="O23" s="24" t="n">
        <f aca="false">F23-SUM(G23:N23)</f>
        <v>144000</v>
      </c>
      <c r="P23" s="24" t="n">
        <f aca="false">IF(Вводные!$B$14="УСН доходы",F23*Вводные!$B$16,MAX(0,O23)*Вводные!$B$15)</f>
        <v>21600</v>
      </c>
      <c r="Q23" s="24" t="n">
        <f aca="false">O23-P23</f>
        <v>122400</v>
      </c>
      <c r="R23" s="24" t="n">
        <f aca="false">Q23+IF(Вводные!$B$12=1,M23,0)</f>
        <v>212400</v>
      </c>
      <c r="S23" s="24" t="n">
        <f aca="false">S22+R23</f>
        <v>-1466840</v>
      </c>
    </row>
    <row r="24" customFormat="false" ht="15" hidden="false" customHeight="false" outlineLevel="0" collapsed="false">
      <c r="A24" s="8" t="n">
        <v>21</v>
      </c>
      <c r="B24" s="8" t="n">
        <f aca="false">MOD(Вводные!$B$3+A24-2,12)+1</f>
        <v>11</v>
      </c>
      <c r="C24" s="23" t="n">
        <f aca="false">IF(A24&lt;=12,INDEX(Вводные!$B$22:$B$33,A24),1)</f>
        <v>1</v>
      </c>
      <c r="D24" s="23" t="n">
        <f aca="false">INDEX(Вводные!$E$22:$E$33,B24)</f>
        <v>1</v>
      </c>
      <c r="E24" s="23" t="n">
        <f aca="false">MIN(C24,D24)</f>
        <v>1</v>
      </c>
      <c r="F24" s="24" t="n">
        <f aca="false">Вводные!$B$4*E24</f>
        <v>1200000</v>
      </c>
      <c r="G24" s="24" t="n">
        <f aca="false">F24*Вводные!$B$5</f>
        <v>360000</v>
      </c>
      <c r="H24" s="24" t="n">
        <f aca="false">F24*Вводные!$B$6</f>
        <v>60000</v>
      </c>
      <c r="I24" s="24" t="n">
        <f aca="false">F24*Вводные!$B$7</f>
        <v>24000</v>
      </c>
      <c r="J24" s="24" t="n">
        <f aca="false">Вводные!$B$8</f>
        <v>150000</v>
      </c>
      <c r="K24" s="24" t="n">
        <f aca="false">Вводные!$B$9</f>
        <v>300000</v>
      </c>
      <c r="L24" s="24" t="n">
        <f aca="false">Вводные!$B$10</f>
        <v>60000</v>
      </c>
      <c r="M24" s="24" t="n">
        <f aca="false">Вводные!$B$11</f>
        <v>90000</v>
      </c>
      <c r="N24" s="24" t="n">
        <f aca="false">Вводные!$B$13</f>
        <v>12000</v>
      </c>
      <c r="O24" s="24" t="n">
        <f aca="false">F24-SUM(G24:N24)</f>
        <v>144000</v>
      </c>
      <c r="P24" s="24" t="n">
        <f aca="false">IF(Вводные!$B$14="УСН доходы",F24*Вводные!$B$16,MAX(0,O24)*Вводные!$B$15)</f>
        <v>21600</v>
      </c>
      <c r="Q24" s="24" t="n">
        <f aca="false">O24-P24</f>
        <v>122400</v>
      </c>
      <c r="R24" s="24" t="n">
        <f aca="false">Q24+IF(Вводные!$B$12=1,M24,0)</f>
        <v>212400</v>
      </c>
      <c r="S24" s="24" t="n">
        <f aca="false">S23+R24</f>
        <v>-1254440</v>
      </c>
    </row>
    <row r="25" customFormat="false" ht="15" hidden="false" customHeight="false" outlineLevel="0" collapsed="false">
      <c r="A25" s="8" t="n">
        <v>22</v>
      </c>
      <c r="B25" s="8" t="n">
        <f aca="false">MOD(Вводные!$B$3+A25-2,12)+1</f>
        <v>12</v>
      </c>
      <c r="C25" s="23" t="n">
        <f aca="false">IF(A25&lt;=12,INDEX(Вводные!$B$22:$B$33,A25),1)</f>
        <v>1</v>
      </c>
      <c r="D25" s="23" t="n">
        <f aca="false">INDEX(Вводные!$E$22:$E$33,B25)</f>
        <v>1</v>
      </c>
      <c r="E25" s="23" t="n">
        <f aca="false">MIN(C25,D25)</f>
        <v>1</v>
      </c>
      <c r="F25" s="24" t="n">
        <f aca="false">Вводные!$B$4*E25</f>
        <v>1200000</v>
      </c>
      <c r="G25" s="24" t="n">
        <f aca="false">F25*Вводные!$B$5</f>
        <v>360000</v>
      </c>
      <c r="H25" s="24" t="n">
        <f aca="false">F25*Вводные!$B$6</f>
        <v>60000</v>
      </c>
      <c r="I25" s="24" t="n">
        <f aca="false">F25*Вводные!$B$7</f>
        <v>24000</v>
      </c>
      <c r="J25" s="24" t="n">
        <f aca="false">Вводные!$B$8</f>
        <v>150000</v>
      </c>
      <c r="K25" s="24" t="n">
        <f aca="false">Вводные!$B$9</f>
        <v>300000</v>
      </c>
      <c r="L25" s="24" t="n">
        <f aca="false">Вводные!$B$10</f>
        <v>60000</v>
      </c>
      <c r="M25" s="24" t="n">
        <f aca="false">Вводные!$B$11</f>
        <v>90000</v>
      </c>
      <c r="N25" s="24" t="n">
        <f aca="false">Вводные!$B$13</f>
        <v>12000</v>
      </c>
      <c r="O25" s="24" t="n">
        <f aca="false">F25-SUM(G25:N25)</f>
        <v>144000</v>
      </c>
      <c r="P25" s="24" t="n">
        <f aca="false">IF(Вводные!$B$14="УСН доходы",F25*Вводные!$B$16,MAX(0,O25)*Вводные!$B$15)</f>
        <v>21600</v>
      </c>
      <c r="Q25" s="24" t="n">
        <f aca="false">O25-P25</f>
        <v>122400</v>
      </c>
      <c r="R25" s="24" t="n">
        <f aca="false">Q25+IF(Вводные!$B$12=1,M25,0)</f>
        <v>212400</v>
      </c>
      <c r="S25" s="24" t="n">
        <f aca="false">S24+R25</f>
        <v>-1042040</v>
      </c>
    </row>
    <row r="26" customFormat="false" ht="15" hidden="false" customHeight="false" outlineLevel="0" collapsed="false">
      <c r="A26" s="8" t="n">
        <v>23</v>
      </c>
      <c r="B26" s="8" t="n">
        <f aca="false">MOD(Вводные!$B$3+A26-2,12)+1</f>
        <v>1</v>
      </c>
      <c r="C26" s="23" t="n">
        <f aca="false">IF(A26&lt;=12,INDEX(Вводные!$B$22:$B$33,A26),1)</f>
        <v>1</v>
      </c>
      <c r="D26" s="23" t="n">
        <f aca="false">INDEX(Вводные!$E$22:$E$33,B26)</f>
        <v>0.85</v>
      </c>
      <c r="E26" s="23" t="n">
        <f aca="false">MIN(C26,D26)</f>
        <v>0.85</v>
      </c>
      <c r="F26" s="24" t="n">
        <f aca="false">Вводные!$B$4*E26</f>
        <v>1020000</v>
      </c>
      <c r="G26" s="24" t="n">
        <f aca="false">F26*Вводные!$B$5</f>
        <v>306000</v>
      </c>
      <c r="H26" s="24" t="n">
        <f aca="false">F26*Вводные!$B$6</f>
        <v>51000</v>
      </c>
      <c r="I26" s="24" t="n">
        <f aca="false">F26*Вводные!$B$7</f>
        <v>20400</v>
      </c>
      <c r="J26" s="24" t="n">
        <f aca="false">Вводные!$B$8</f>
        <v>150000</v>
      </c>
      <c r="K26" s="24" t="n">
        <f aca="false">Вводные!$B$9</f>
        <v>300000</v>
      </c>
      <c r="L26" s="24" t="n">
        <f aca="false">Вводные!$B$10</f>
        <v>60000</v>
      </c>
      <c r="M26" s="24" t="n">
        <f aca="false">Вводные!$B$11</f>
        <v>90000</v>
      </c>
      <c r="N26" s="24" t="n">
        <f aca="false">Вводные!$B$13</f>
        <v>12000</v>
      </c>
      <c r="O26" s="24" t="n">
        <f aca="false">F26-SUM(G26:N26)</f>
        <v>30600</v>
      </c>
      <c r="P26" s="24" t="n">
        <f aca="false">IF(Вводные!$B$14="УСН доходы",F26*Вводные!$B$16,MAX(0,O26)*Вводные!$B$15)</f>
        <v>4590</v>
      </c>
      <c r="Q26" s="24" t="n">
        <f aca="false">O26-P26</f>
        <v>26010</v>
      </c>
      <c r="R26" s="24" t="n">
        <f aca="false">Q26+IF(Вводные!$B$12=1,M26,0)</f>
        <v>116010</v>
      </c>
      <c r="S26" s="24" t="n">
        <f aca="false">S25+R26</f>
        <v>-926030</v>
      </c>
    </row>
    <row r="27" customFormat="false" ht="15" hidden="false" customHeight="false" outlineLevel="0" collapsed="false">
      <c r="A27" s="8" t="n">
        <v>24</v>
      </c>
      <c r="B27" s="8" t="n">
        <f aca="false">MOD(Вводные!$B$3+A27-2,12)+1</f>
        <v>2</v>
      </c>
      <c r="C27" s="23" t="n">
        <f aca="false">IF(A27&lt;=12,INDEX(Вводные!$B$22:$B$33,A27),1)</f>
        <v>1</v>
      </c>
      <c r="D27" s="23" t="n">
        <f aca="false">INDEX(Вводные!$E$22:$E$33,B27)</f>
        <v>0.95</v>
      </c>
      <c r="E27" s="23" t="n">
        <f aca="false">MIN(C27,D27)</f>
        <v>0.95</v>
      </c>
      <c r="F27" s="24" t="n">
        <f aca="false">Вводные!$B$4*E27</f>
        <v>1140000</v>
      </c>
      <c r="G27" s="24" t="n">
        <f aca="false">F27*Вводные!$B$5</f>
        <v>342000</v>
      </c>
      <c r="H27" s="24" t="n">
        <f aca="false">F27*Вводные!$B$6</f>
        <v>57000</v>
      </c>
      <c r="I27" s="24" t="n">
        <f aca="false">F27*Вводные!$B$7</f>
        <v>22800</v>
      </c>
      <c r="J27" s="24" t="n">
        <f aca="false">Вводные!$B$8</f>
        <v>150000</v>
      </c>
      <c r="K27" s="24" t="n">
        <f aca="false">Вводные!$B$9</f>
        <v>300000</v>
      </c>
      <c r="L27" s="24" t="n">
        <f aca="false">Вводные!$B$10</f>
        <v>60000</v>
      </c>
      <c r="M27" s="24" t="n">
        <f aca="false">Вводные!$B$11</f>
        <v>90000</v>
      </c>
      <c r="N27" s="24" t="n">
        <f aca="false">Вводные!$B$13</f>
        <v>12000</v>
      </c>
      <c r="O27" s="24" t="n">
        <f aca="false">F27-SUM(G27:N27)</f>
        <v>106200</v>
      </c>
      <c r="P27" s="24" t="n">
        <f aca="false">IF(Вводные!$B$14="УСН доходы",F27*Вводные!$B$16,MAX(0,O27)*Вводные!$B$15)</f>
        <v>15930</v>
      </c>
      <c r="Q27" s="24" t="n">
        <f aca="false">O27-P27</f>
        <v>90270</v>
      </c>
      <c r="R27" s="24" t="n">
        <f aca="false">Q27+IF(Вводные!$B$12=1,M27,0)</f>
        <v>180270</v>
      </c>
      <c r="S27" s="24" t="n">
        <f aca="false">S26+R27</f>
        <v>-745760</v>
      </c>
    </row>
    <row r="28" customFormat="false" ht="15" hidden="false" customHeight="false" outlineLevel="0" collapsed="false">
      <c r="A28" s="8" t="n">
        <v>25</v>
      </c>
      <c r="B28" s="8" t="n">
        <f aca="false">MOD(Вводные!$B$3+A28-2,12)+1</f>
        <v>3</v>
      </c>
      <c r="C28" s="23" t="n">
        <f aca="false">IF(A28&lt;=12,INDEX(Вводные!$B$22:$B$33,A28),1)</f>
        <v>1</v>
      </c>
      <c r="D28" s="23" t="n">
        <f aca="false">INDEX(Вводные!$E$22:$E$33,B28)</f>
        <v>0.95</v>
      </c>
      <c r="E28" s="23" t="n">
        <f aca="false">MIN(C28,D28)</f>
        <v>0.95</v>
      </c>
      <c r="F28" s="24" t="n">
        <f aca="false">Вводные!$B$4*E28</f>
        <v>1140000</v>
      </c>
      <c r="G28" s="24" t="n">
        <f aca="false">F28*Вводные!$B$5</f>
        <v>342000</v>
      </c>
      <c r="H28" s="24" t="n">
        <f aca="false">F28*Вводные!$B$6</f>
        <v>57000</v>
      </c>
      <c r="I28" s="24" t="n">
        <f aca="false">F28*Вводные!$B$7</f>
        <v>22800</v>
      </c>
      <c r="J28" s="24" t="n">
        <f aca="false">Вводные!$B$8</f>
        <v>150000</v>
      </c>
      <c r="K28" s="24" t="n">
        <f aca="false">Вводные!$B$9</f>
        <v>300000</v>
      </c>
      <c r="L28" s="24" t="n">
        <f aca="false">Вводные!$B$10</f>
        <v>60000</v>
      </c>
      <c r="M28" s="24" t="n">
        <f aca="false">Вводные!$B$11</f>
        <v>90000</v>
      </c>
      <c r="N28" s="24" t="n">
        <f aca="false">Вводные!$B$13</f>
        <v>12000</v>
      </c>
      <c r="O28" s="24" t="n">
        <f aca="false">F28-SUM(G28:N28)</f>
        <v>106200</v>
      </c>
      <c r="P28" s="24" t="n">
        <f aca="false">IF(Вводные!$B$14="УСН доходы",F28*Вводные!$B$16,MAX(0,O28)*Вводные!$B$15)</f>
        <v>15930</v>
      </c>
      <c r="Q28" s="24" t="n">
        <f aca="false">O28-P28</f>
        <v>90270</v>
      </c>
      <c r="R28" s="24" t="n">
        <f aca="false">Q28+IF(Вводные!$B$12=1,M28,0)</f>
        <v>180270</v>
      </c>
      <c r="S28" s="24" t="n">
        <f aca="false">S27+R28</f>
        <v>-565490</v>
      </c>
    </row>
    <row r="29" customFormat="false" ht="15" hidden="false" customHeight="false" outlineLevel="0" collapsed="false">
      <c r="A29" s="8" t="n">
        <v>26</v>
      </c>
      <c r="B29" s="8" t="n">
        <f aca="false">MOD(Вводные!$B$3+A29-2,12)+1</f>
        <v>4</v>
      </c>
      <c r="C29" s="23" t="n">
        <f aca="false">IF(A29&lt;=12,INDEX(Вводные!$B$22:$B$33,A29),1)</f>
        <v>1</v>
      </c>
      <c r="D29" s="23" t="n">
        <f aca="false">INDEX(Вводные!$E$22:$E$33,B29)</f>
        <v>0.95</v>
      </c>
      <c r="E29" s="23" t="n">
        <f aca="false">MIN(C29,D29)</f>
        <v>0.95</v>
      </c>
      <c r="F29" s="24" t="n">
        <f aca="false">Вводные!$B$4*E29</f>
        <v>1140000</v>
      </c>
      <c r="G29" s="24" t="n">
        <f aca="false">F29*Вводные!$B$5</f>
        <v>342000</v>
      </c>
      <c r="H29" s="24" t="n">
        <f aca="false">F29*Вводные!$B$6</f>
        <v>57000</v>
      </c>
      <c r="I29" s="24" t="n">
        <f aca="false">F29*Вводные!$B$7</f>
        <v>22800</v>
      </c>
      <c r="J29" s="24" t="n">
        <f aca="false">Вводные!$B$8</f>
        <v>150000</v>
      </c>
      <c r="K29" s="24" t="n">
        <f aca="false">Вводные!$B$9</f>
        <v>300000</v>
      </c>
      <c r="L29" s="24" t="n">
        <f aca="false">Вводные!$B$10</f>
        <v>60000</v>
      </c>
      <c r="M29" s="24" t="n">
        <f aca="false">Вводные!$B$11</f>
        <v>90000</v>
      </c>
      <c r="N29" s="24" t="n">
        <f aca="false">Вводные!$B$13</f>
        <v>12000</v>
      </c>
      <c r="O29" s="24" t="n">
        <f aca="false">F29-SUM(G29:N29)</f>
        <v>106200</v>
      </c>
      <c r="P29" s="24" t="n">
        <f aca="false">IF(Вводные!$B$14="УСН доходы",F29*Вводные!$B$16,MAX(0,O29)*Вводные!$B$15)</f>
        <v>15930</v>
      </c>
      <c r="Q29" s="24" t="n">
        <f aca="false">O29-P29</f>
        <v>90270</v>
      </c>
      <c r="R29" s="24" t="n">
        <f aca="false">Q29+IF(Вводные!$B$12=1,M29,0)</f>
        <v>180270</v>
      </c>
      <c r="S29" s="24" t="n">
        <f aca="false">S28+R29</f>
        <v>-385220</v>
      </c>
    </row>
    <row r="30" customFormat="false" ht="15" hidden="false" customHeight="false" outlineLevel="0" collapsed="false">
      <c r="A30" s="8" t="n">
        <v>27</v>
      </c>
      <c r="B30" s="8" t="n">
        <f aca="false">MOD(Вводные!$B$3+A30-2,12)+1</f>
        <v>5</v>
      </c>
      <c r="C30" s="23" t="n">
        <f aca="false">IF(A30&lt;=12,INDEX(Вводные!$B$22:$B$33,A30),1)</f>
        <v>1</v>
      </c>
      <c r="D30" s="23" t="n">
        <f aca="false">INDEX(Вводные!$E$22:$E$33,B30)</f>
        <v>0.9</v>
      </c>
      <c r="E30" s="23" t="n">
        <f aca="false">MIN(C30,D30)</f>
        <v>0.9</v>
      </c>
      <c r="F30" s="24" t="n">
        <f aca="false">Вводные!$B$4*E30</f>
        <v>1080000</v>
      </c>
      <c r="G30" s="24" t="n">
        <f aca="false">F30*Вводные!$B$5</f>
        <v>324000</v>
      </c>
      <c r="H30" s="24" t="n">
        <f aca="false">F30*Вводные!$B$6</f>
        <v>54000</v>
      </c>
      <c r="I30" s="24" t="n">
        <f aca="false">F30*Вводные!$B$7</f>
        <v>21600</v>
      </c>
      <c r="J30" s="24" t="n">
        <f aca="false">Вводные!$B$8</f>
        <v>150000</v>
      </c>
      <c r="K30" s="24" t="n">
        <f aca="false">Вводные!$B$9</f>
        <v>300000</v>
      </c>
      <c r="L30" s="24" t="n">
        <f aca="false">Вводные!$B$10</f>
        <v>60000</v>
      </c>
      <c r="M30" s="24" t="n">
        <f aca="false">Вводные!$B$11</f>
        <v>90000</v>
      </c>
      <c r="N30" s="24" t="n">
        <f aca="false">Вводные!$B$13</f>
        <v>12000</v>
      </c>
      <c r="O30" s="24" t="n">
        <f aca="false">F30-SUM(G30:N30)</f>
        <v>68400</v>
      </c>
      <c r="P30" s="24" t="n">
        <f aca="false">IF(Вводные!$B$14="УСН доходы",F30*Вводные!$B$16,MAX(0,O30)*Вводные!$B$15)</f>
        <v>10260</v>
      </c>
      <c r="Q30" s="24" t="n">
        <f aca="false">O30-P30</f>
        <v>58140</v>
      </c>
      <c r="R30" s="24" t="n">
        <f aca="false">Q30+IF(Вводные!$B$12=1,M30,0)</f>
        <v>148140</v>
      </c>
      <c r="S30" s="24" t="n">
        <f aca="false">S29+R30</f>
        <v>-237080</v>
      </c>
    </row>
    <row r="31" customFormat="false" ht="15" hidden="false" customHeight="false" outlineLevel="0" collapsed="false">
      <c r="A31" s="8" t="n">
        <v>28</v>
      </c>
      <c r="B31" s="8" t="n">
        <f aca="false">MOD(Вводные!$B$3+A31-2,12)+1</f>
        <v>6</v>
      </c>
      <c r="C31" s="23" t="n">
        <f aca="false">IF(A31&lt;=12,INDEX(Вводные!$B$22:$B$33,A31),1)</f>
        <v>1</v>
      </c>
      <c r="D31" s="23" t="n">
        <f aca="false">INDEX(Вводные!$E$22:$E$33,B31)</f>
        <v>0.8</v>
      </c>
      <c r="E31" s="23" t="n">
        <f aca="false">MIN(C31,D31)</f>
        <v>0.8</v>
      </c>
      <c r="F31" s="24" t="n">
        <f aca="false">Вводные!$B$4*E31</f>
        <v>960000</v>
      </c>
      <c r="G31" s="24" t="n">
        <f aca="false">F31*Вводные!$B$5</f>
        <v>288000</v>
      </c>
      <c r="H31" s="24" t="n">
        <f aca="false">F31*Вводные!$B$6</f>
        <v>48000</v>
      </c>
      <c r="I31" s="24" t="n">
        <f aca="false">F31*Вводные!$B$7</f>
        <v>19200</v>
      </c>
      <c r="J31" s="24" t="n">
        <f aca="false">Вводные!$B$8</f>
        <v>150000</v>
      </c>
      <c r="K31" s="24" t="n">
        <f aca="false">Вводные!$B$9</f>
        <v>300000</v>
      </c>
      <c r="L31" s="24" t="n">
        <f aca="false">Вводные!$B$10</f>
        <v>60000</v>
      </c>
      <c r="M31" s="24" t="n">
        <f aca="false">Вводные!$B$11</f>
        <v>90000</v>
      </c>
      <c r="N31" s="24" t="n">
        <f aca="false">Вводные!$B$13</f>
        <v>12000</v>
      </c>
      <c r="O31" s="24" t="n">
        <f aca="false">F31-SUM(G31:N31)</f>
        <v>-7200</v>
      </c>
      <c r="P31" s="24" t="n">
        <f aca="false">IF(Вводные!$B$14="УСН доходы",F31*Вводные!$B$16,MAX(0,O31)*Вводные!$B$15)</f>
        <v>0</v>
      </c>
      <c r="Q31" s="24" t="n">
        <f aca="false">O31-P31</f>
        <v>-7200</v>
      </c>
      <c r="R31" s="24" t="n">
        <f aca="false">Q31+IF(Вводные!$B$12=1,M31,0)</f>
        <v>82800</v>
      </c>
      <c r="S31" s="24" t="n">
        <f aca="false">S30+R31</f>
        <v>-154280</v>
      </c>
    </row>
    <row r="32" customFormat="false" ht="15" hidden="false" customHeight="false" outlineLevel="0" collapsed="false">
      <c r="A32" s="8" t="n">
        <v>29</v>
      </c>
      <c r="B32" s="8" t="n">
        <f aca="false">MOD(Вводные!$B$3+A32-2,12)+1</f>
        <v>7</v>
      </c>
      <c r="C32" s="23" t="n">
        <f aca="false">IF(A32&lt;=12,INDEX(Вводные!$B$22:$B$33,A32),1)</f>
        <v>1</v>
      </c>
      <c r="D32" s="23" t="n">
        <f aca="false">INDEX(Вводные!$E$22:$E$33,B32)</f>
        <v>0.7</v>
      </c>
      <c r="E32" s="23" t="n">
        <f aca="false">MIN(C32,D32)</f>
        <v>0.7</v>
      </c>
      <c r="F32" s="24" t="n">
        <f aca="false">Вводные!$B$4*E32</f>
        <v>840000</v>
      </c>
      <c r="G32" s="24" t="n">
        <f aca="false">F32*Вводные!$B$5</f>
        <v>252000</v>
      </c>
      <c r="H32" s="24" t="n">
        <f aca="false">F32*Вводные!$B$6</f>
        <v>42000</v>
      </c>
      <c r="I32" s="24" t="n">
        <f aca="false">F32*Вводные!$B$7</f>
        <v>16800</v>
      </c>
      <c r="J32" s="24" t="n">
        <f aca="false">Вводные!$B$8</f>
        <v>150000</v>
      </c>
      <c r="K32" s="24" t="n">
        <f aca="false">Вводные!$B$9</f>
        <v>300000</v>
      </c>
      <c r="L32" s="24" t="n">
        <f aca="false">Вводные!$B$10</f>
        <v>60000</v>
      </c>
      <c r="M32" s="24" t="n">
        <f aca="false">Вводные!$B$11</f>
        <v>90000</v>
      </c>
      <c r="N32" s="24" t="n">
        <f aca="false">Вводные!$B$13</f>
        <v>12000</v>
      </c>
      <c r="O32" s="24" t="n">
        <f aca="false">F32-SUM(G32:N32)</f>
        <v>-82800</v>
      </c>
      <c r="P32" s="24" t="n">
        <f aca="false">IF(Вводные!$B$14="УСН доходы",F32*Вводные!$B$16,MAX(0,O32)*Вводные!$B$15)</f>
        <v>0</v>
      </c>
      <c r="Q32" s="24" t="n">
        <f aca="false">O32-P32</f>
        <v>-82800</v>
      </c>
      <c r="R32" s="24" t="n">
        <f aca="false">Q32+IF(Вводные!$B$12=1,M32,0)</f>
        <v>7200</v>
      </c>
      <c r="S32" s="24" t="n">
        <f aca="false">S31+R32</f>
        <v>-147080</v>
      </c>
    </row>
    <row r="33" customFormat="false" ht="15" hidden="false" customHeight="false" outlineLevel="0" collapsed="false">
      <c r="A33" s="8" t="n">
        <v>30</v>
      </c>
      <c r="B33" s="8" t="n">
        <f aca="false">MOD(Вводные!$B$3+A33-2,12)+1</f>
        <v>8</v>
      </c>
      <c r="C33" s="23" t="n">
        <f aca="false">IF(A33&lt;=12,INDEX(Вводные!$B$22:$B$33,A33),1)</f>
        <v>1</v>
      </c>
      <c r="D33" s="23" t="n">
        <f aca="false">INDEX(Вводные!$E$22:$E$33,B33)</f>
        <v>0.8</v>
      </c>
      <c r="E33" s="23" t="n">
        <f aca="false">MIN(C33,D33)</f>
        <v>0.8</v>
      </c>
      <c r="F33" s="24" t="n">
        <f aca="false">Вводные!$B$4*E33</f>
        <v>960000</v>
      </c>
      <c r="G33" s="24" t="n">
        <f aca="false">F33*Вводные!$B$5</f>
        <v>288000</v>
      </c>
      <c r="H33" s="24" t="n">
        <f aca="false">F33*Вводные!$B$6</f>
        <v>48000</v>
      </c>
      <c r="I33" s="24" t="n">
        <f aca="false">F33*Вводные!$B$7</f>
        <v>19200</v>
      </c>
      <c r="J33" s="24" t="n">
        <f aca="false">Вводные!$B$8</f>
        <v>150000</v>
      </c>
      <c r="K33" s="24" t="n">
        <f aca="false">Вводные!$B$9</f>
        <v>300000</v>
      </c>
      <c r="L33" s="24" t="n">
        <f aca="false">Вводные!$B$10</f>
        <v>60000</v>
      </c>
      <c r="M33" s="24" t="n">
        <f aca="false">Вводные!$B$11</f>
        <v>90000</v>
      </c>
      <c r="N33" s="24" t="n">
        <f aca="false">Вводные!$B$13</f>
        <v>12000</v>
      </c>
      <c r="O33" s="24" t="n">
        <f aca="false">F33-SUM(G33:N33)</f>
        <v>-7200</v>
      </c>
      <c r="P33" s="24" t="n">
        <f aca="false">IF(Вводные!$B$14="УСН доходы",F33*Вводные!$B$16,MAX(0,O33)*Вводные!$B$15)</f>
        <v>0</v>
      </c>
      <c r="Q33" s="24" t="n">
        <f aca="false">O33-P33</f>
        <v>-7200</v>
      </c>
      <c r="R33" s="24" t="n">
        <f aca="false">Q33+IF(Вводные!$B$12=1,M33,0)</f>
        <v>82800</v>
      </c>
      <c r="S33" s="24" t="n">
        <f aca="false">S32+R33</f>
        <v>-64280</v>
      </c>
    </row>
    <row r="34" customFormat="false" ht="15" hidden="false" customHeight="false" outlineLevel="0" collapsed="false">
      <c r="A34" s="8" t="n">
        <v>31</v>
      </c>
      <c r="B34" s="8" t="n">
        <f aca="false">MOD(Вводные!$B$3+A34-2,12)+1</f>
        <v>9</v>
      </c>
      <c r="C34" s="23" t="n">
        <f aca="false">IF(A34&lt;=12,INDEX(Вводные!$B$22:$B$33,A34),1)</f>
        <v>1</v>
      </c>
      <c r="D34" s="23" t="n">
        <f aca="false">INDEX(Вводные!$E$22:$E$33,B34)</f>
        <v>1</v>
      </c>
      <c r="E34" s="23" t="n">
        <f aca="false">MIN(C34,D34)</f>
        <v>1</v>
      </c>
      <c r="F34" s="24" t="n">
        <f aca="false">Вводные!$B$4*E34</f>
        <v>1200000</v>
      </c>
      <c r="G34" s="24" t="n">
        <f aca="false">F34*Вводные!$B$5</f>
        <v>360000</v>
      </c>
      <c r="H34" s="24" t="n">
        <f aca="false">F34*Вводные!$B$6</f>
        <v>60000</v>
      </c>
      <c r="I34" s="24" t="n">
        <f aca="false">F34*Вводные!$B$7</f>
        <v>24000</v>
      </c>
      <c r="J34" s="24" t="n">
        <f aca="false">Вводные!$B$8</f>
        <v>150000</v>
      </c>
      <c r="K34" s="24" t="n">
        <f aca="false">Вводные!$B$9</f>
        <v>300000</v>
      </c>
      <c r="L34" s="24" t="n">
        <f aca="false">Вводные!$B$10</f>
        <v>60000</v>
      </c>
      <c r="M34" s="24" t="n">
        <f aca="false">Вводные!$B$11</f>
        <v>90000</v>
      </c>
      <c r="N34" s="24" t="n">
        <f aca="false">Вводные!$B$13</f>
        <v>12000</v>
      </c>
      <c r="O34" s="24" t="n">
        <f aca="false">F34-SUM(G34:N34)</f>
        <v>144000</v>
      </c>
      <c r="P34" s="24" t="n">
        <f aca="false">IF(Вводные!$B$14="УСН доходы",F34*Вводные!$B$16,MAX(0,O34)*Вводные!$B$15)</f>
        <v>21600</v>
      </c>
      <c r="Q34" s="24" t="n">
        <f aca="false">O34-P34</f>
        <v>122400</v>
      </c>
      <c r="R34" s="24" t="n">
        <f aca="false">Q34+IF(Вводные!$B$12=1,M34,0)</f>
        <v>212400</v>
      </c>
      <c r="S34" s="24" t="n">
        <f aca="false">S33+R34</f>
        <v>148120</v>
      </c>
    </row>
    <row r="35" customFormat="false" ht="15" hidden="false" customHeight="false" outlineLevel="0" collapsed="false">
      <c r="A35" s="8" t="n">
        <v>32</v>
      </c>
      <c r="B35" s="8" t="n">
        <f aca="false">MOD(Вводные!$B$3+A35-2,12)+1</f>
        <v>10</v>
      </c>
      <c r="C35" s="23" t="n">
        <f aca="false">IF(A35&lt;=12,INDEX(Вводные!$B$22:$B$33,A35),1)</f>
        <v>1</v>
      </c>
      <c r="D35" s="23" t="n">
        <f aca="false">INDEX(Вводные!$E$22:$E$33,B35)</f>
        <v>1</v>
      </c>
      <c r="E35" s="23" t="n">
        <f aca="false">MIN(C35,D35)</f>
        <v>1</v>
      </c>
      <c r="F35" s="24" t="n">
        <f aca="false">Вводные!$B$4*E35</f>
        <v>1200000</v>
      </c>
      <c r="G35" s="24" t="n">
        <f aca="false">F35*Вводные!$B$5</f>
        <v>360000</v>
      </c>
      <c r="H35" s="24" t="n">
        <f aca="false">F35*Вводные!$B$6</f>
        <v>60000</v>
      </c>
      <c r="I35" s="24" t="n">
        <f aca="false">F35*Вводные!$B$7</f>
        <v>24000</v>
      </c>
      <c r="J35" s="24" t="n">
        <f aca="false">Вводные!$B$8</f>
        <v>150000</v>
      </c>
      <c r="K35" s="24" t="n">
        <f aca="false">Вводные!$B$9</f>
        <v>300000</v>
      </c>
      <c r="L35" s="24" t="n">
        <f aca="false">Вводные!$B$10</f>
        <v>60000</v>
      </c>
      <c r="M35" s="24" t="n">
        <f aca="false">Вводные!$B$11</f>
        <v>90000</v>
      </c>
      <c r="N35" s="24" t="n">
        <f aca="false">Вводные!$B$13</f>
        <v>12000</v>
      </c>
      <c r="O35" s="24" t="n">
        <f aca="false">F35-SUM(G35:N35)</f>
        <v>144000</v>
      </c>
      <c r="P35" s="24" t="n">
        <f aca="false">IF(Вводные!$B$14="УСН доходы",F35*Вводные!$B$16,MAX(0,O35)*Вводные!$B$15)</f>
        <v>21600</v>
      </c>
      <c r="Q35" s="24" t="n">
        <f aca="false">O35-P35</f>
        <v>122400</v>
      </c>
      <c r="R35" s="24" t="n">
        <f aca="false">Q35+IF(Вводные!$B$12=1,M35,0)</f>
        <v>212400</v>
      </c>
      <c r="S35" s="24" t="n">
        <f aca="false">S34+R35</f>
        <v>360520</v>
      </c>
    </row>
    <row r="36" customFormat="false" ht="15" hidden="false" customHeight="false" outlineLevel="0" collapsed="false">
      <c r="A36" s="8" t="n">
        <v>33</v>
      </c>
      <c r="B36" s="8" t="n">
        <f aca="false">MOD(Вводные!$B$3+A36-2,12)+1</f>
        <v>11</v>
      </c>
      <c r="C36" s="23" t="n">
        <f aca="false">IF(A36&lt;=12,INDEX(Вводные!$B$22:$B$33,A36),1)</f>
        <v>1</v>
      </c>
      <c r="D36" s="23" t="n">
        <f aca="false">INDEX(Вводные!$E$22:$E$33,B36)</f>
        <v>1</v>
      </c>
      <c r="E36" s="23" t="n">
        <f aca="false">MIN(C36,D36)</f>
        <v>1</v>
      </c>
      <c r="F36" s="24" t="n">
        <f aca="false">Вводные!$B$4*E36</f>
        <v>1200000</v>
      </c>
      <c r="G36" s="24" t="n">
        <f aca="false">F36*Вводные!$B$5</f>
        <v>360000</v>
      </c>
      <c r="H36" s="24" t="n">
        <f aca="false">F36*Вводные!$B$6</f>
        <v>60000</v>
      </c>
      <c r="I36" s="24" t="n">
        <f aca="false">F36*Вводные!$B$7</f>
        <v>24000</v>
      </c>
      <c r="J36" s="24" t="n">
        <f aca="false">Вводные!$B$8</f>
        <v>150000</v>
      </c>
      <c r="K36" s="24" t="n">
        <f aca="false">Вводные!$B$9</f>
        <v>300000</v>
      </c>
      <c r="L36" s="24" t="n">
        <f aca="false">Вводные!$B$10</f>
        <v>60000</v>
      </c>
      <c r="M36" s="24" t="n">
        <f aca="false">Вводные!$B$11</f>
        <v>90000</v>
      </c>
      <c r="N36" s="24" t="n">
        <f aca="false">Вводные!$B$13</f>
        <v>12000</v>
      </c>
      <c r="O36" s="24" t="n">
        <f aca="false">F36-SUM(G36:N36)</f>
        <v>144000</v>
      </c>
      <c r="P36" s="24" t="n">
        <f aca="false">IF(Вводные!$B$14="УСН доходы",F36*Вводные!$B$16,MAX(0,O36)*Вводные!$B$15)</f>
        <v>21600</v>
      </c>
      <c r="Q36" s="24" t="n">
        <f aca="false">O36-P36</f>
        <v>122400</v>
      </c>
      <c r="R36" s="24" t="n">
        <f aca="false">Q36+IF(Вводные!$B$12=1,M36,0)</f>
        <v>212400</v>
      </c>
      <c r="S36" s="24" t="n">
        <f aca="false">S35+R36</f>
        <v>572920</v>
      </c>
    </row>
    <row r="37" customFormat="false" ht="15" hidden="false" customHeight="false" outlineLevel="0" collapsed="false">
      <c r="A37" s="8" t="n">
        <v>34</v>
      </c>
      <c r="B37" s="8" t="n">
        <f aca="false">MOD(Вводные!$B$3+A37-2,12)+1</f>
        <v>12</v>
      </c>
      <c r="C37" s="23" t="n">
        <f aca="false">IF(A37&lt;=12,INDEX(Вводные!$B$22:$B$33,A37),1)</f>
        <v>1</v>
      </c>
      <c r="D37" s="23" t="n">
        <f aca="false">INDEX(Вводные!$E$22:$E$33,B37)</f>
        <v>1</v>
      </c>
      <c r="E37" s="23" t="n">
        <f aca="false">MIN(C37,D37)</f>
        <v>1</v>
      </c>
      <c r="F37" s="24" t="n">
        <f aca="false">Вводные!$B$4*E37</f>
        <v>1200000</v>
      </c>
      <c r="G37" s="24" t="n">
        <f aca="false">F37*Вводные!$B$5</f>
        <v>360000</v>
      </c>
      <c r="H37" s="24" t="n">
        <f aca="false">F37*Вводные!$B$6</f>
        <v>60000</v>
      </c>
      <c r="I37" s="24" t="n">
        <f aca="false">F37*Вводные!$B$7</f>
        <v>24000</v>
      </c>
      <c r="J37" s="24" t="n">
        <f aca="false">Вводные!$B$8</f>
        <v>150000</v>
      </c>
      <c r="K37" s="24" t="n">
        <f aca="false">Вводные!$B$9</f>
        <v>300000</v>
      </c>
      <c r="L37" s="24" t="n">
        <f aca="false">Вводные!$B$10</f>
        <v>60000</v>
      </c>
      <c r="M37" s="24" t="n">
        <f aca="false">Вводные!$B$11</f>
        <v>90000</v>
      </c>
      <c r="N37" s="24" t="n">
        <f aca="false">Вводные!$B$13</f>
        <v>12000</v>
      </c>
      <c r="O37" s="24" t="n">
        <f aca="false">F37-SUM(G37:N37)</f>
        <v>144000</v>
      </c>
      <c r="P37" s="24" t="n">
        <f aca="false">IF(Вводные!$B$14="УСН доходы",F37*Вводные!$B$16,MAX(0,O37)*Вводные!$B$15)</f>
        <v>21600</v>
      </c>
      <c r="Q37" s="24" t="n">
        <f aca="false">O37-P37</f>
        <v>122400</v>
      </c>
      <c r="R37" s="24" t="n">
        <f aca="false">Q37+IF(Вводные!$B$12=1,M37,0)</f>
        <v>212400</v>
      </c>
      <c r="S37" s="24" t="n">
        <f aca="false">S36+R37</f>
        <v>785320</v>
      </c>
    </row>
    <row r="38" customFormat="false" ht="15" hidden="false" customHeight="false" outlineLevel="0" collapsed="false">
      <c r="A38" s="8" t="n">
        <v>35</v>
      </c>
      <c r="B38" s="8" t="n">
        <f aca="false">MOD(Вводные!$B$3+A38-2,12)+1</f>
        <v>1</v>
      </c>
      <c r="C38" s="23" t="n">
        <f aca="false">IF(A38&lt;=12,INDEX(Вводные!$B$22:$B$33,A38),1)</f>
        <v>1</v>
      </c>
      <c r="D38" s="23" t="n">
        <f aca="false">INDEX(Вводные!$E$22:$E$33,B38)</f>
        <v>0.85</v>
      </c>
      <c r="E38" s="23" t="n">
        <f aca="false">MIN(C38,D38)</f>
        <v>0.85</v>
      </c>
      <c r="F38" s="24" t="n">
        <f aca="false">Вводные!$B$4*E38</f>
        <v>1020000</v>
      </c>
      <c r="G38" s="24" t="n">
        <f aca="false">F38*Вводные!$B$5</f>
        <v>306000</v>
      </c>
      <c r="H38" s="24" t="n">
        <f aca="false">F38*Вводные!$B$6</f>
        <v>51000</v>
      </c>
      <c r="I38" s="24" t="n">
        <f aca="false">F38*Вводные!$B$7</f>
        <v>20400</v>
      </c>
      <c r="J38" s="24" t="n">
        <f aca="false">Вводные!$B$8</f>
        <v>150000</v>
      </c>
      <c r="K38" s="24" t="n">
        <f aca="false">Вводные!$B$9</f>
        <v>300000</v>
      </c>
      <c r="L38" s="24" t="n">
        <f aca="false">Вводные!$B$10</f>
        <v>60000</v>
      </c>
      <c r="M38" s="24" t="n">
        <f aca="false">Вводные!$B$11</f>
        <v>90000</v>
      </c>
      <c r="N38" s="24" t="n">
        <f aca="false">Вводные!$B$13</f>
        <v>12000</v>
      </c>
      <c r="O38" s="24" t="n">
        <f aca="false">F38-SUM(G38:N38)</f>
        <v>30600</v>
      </c>
      <c r="P38" s="24" t="n">
        <f aca="false">IF(Вводные!$B$14="УСН доходы",F38*Вводные!$B$16,MAX(0,O38)*Вводные!$B$15)</f>
        <v>4590</v>
      </c>
      <c r="Q38" s="24" t="n">
        <f aca="false">O38-P38</f>
        <v>26010</v>
      </c>
      <c r="R38" s="24" t="n">
        <f aca="false">Q38+IF(Вводные!$B$12=1,M38,0)</f>
        <v>116010</v>
      </c>
      <c r="S38" s="24" t="n">
        <f aca="false">S37+R38</f>
        <v>901330</v>
      </c>
    </row>
    <row r="39" customFormat="false" ht="15" hidden="false" customHeight="false" outlineLevel="0" collapsed="false">
      <c r="A39" s="8" t="n">
        <v>36</v>
      </c>
      <c r="B39" s="8" t="n">
        <f aca="false">MOD(Вводные!$B$3+A39-2,12)+1</f>
        <v>2</v>
      </c>
      <c r="C39" s="23" t="n">
        <f aca="false">IF(A39&lt;=12,INDEX(Вводные!$B$22:$B$33,A39),1)</f>
        <v>1</v>
      </c>
      <c r="D39" s="23" t="n">
        <f aca="false">INDEX(Вводные!$E$22:$E$33,B39)</f>
        <v>0.95</v>
      </c>
      <c r="E39" s="23" t="n">
        <f aca="false">MIN(C39,D39)</f>
        <v>0.95</v>
      </c>
      <c r="F39" s="24" t="n">
        <f aca="false">Вводные!$B$4*E39</f>
        <v>1140000</v>
      </c>
      <c r="G39" s="24" t="n">
        <f aca="false">F39*Вводные!$B$5</f>
        <v>342000</v>
      </c>
      <c r="H39" s="24" t="n">
        <f aca="false">F39*Вводные!$B$6</f>
        <v>57000</v>
      </c>
      <c r="I39" s="24" t="n">
        <f aca="false">F39*Вводные!$B$7</f>
        <v>22800</v>
      </c>
      <c r="J39" s="24" t="n">
        <f aca="false">Вводные!$B$8</f>
        <v>150000</v>
      </c>
      <c r="K39" s="24" t="n">
        <f aca="false">Вводные!$B$9</f>
        <v>300000</v>
      </c>
      <c r="L39" s="24" t="n">
        <f aca="false">Вводные!$B$10</f>
        <v>60000</v>
      </c>
      <c r="M39" s="24" t="n">
        <f aca="false">Вводные!$B$11</f>
        <v>90000</v>
      </c>
      <c r="N39" s="24" t="n">
        <f aca="false">Вводные!$B$13</f>
        <v>12000</v>
      </c>
      <c r="O39" s="24" t="n">
        <f aca="false">F39-SUM(G39:N39)</f>
        <v>106200</v>
      </c>
      <c r="P39" s="24" t="n">
        <f aca="false">IF(Вводные!$B$14="УСН доходы",F39*Вводные!$B$16,MAX(0,O39)*Вводные!$B$15)</f>
        <v>15930</v>
      </c>
      <c r="Q39" s="24" t="n">
        <f aca="false">O39-P39</f>
        <v>90270</v>
      </c>
      <c r="R39" s="24" t="n">
        <f aca="false">Q39+IF(Вводные!$B$12=1,M39,0)</f>
        <v>180270</v>
      </c>
      <c r="S39" s="24" t="n">
        <f aca="false">S38+R39</f>
        <v>1081600</v>
      </c>
    </row>
  </sheetData>
  <conditionalFormatting sqref="S4:S3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110</v>
      </c>
    </row>
    <row r="3" customFormat="false" ht="15" hidden="false" customHeight="false" outlineLevel="0" collapsed="false">
      <c r="A3" s="4" t="s">
        <v>111</v>
      </c>
      <c r="B3" s="25" t="n">
        <f aca="false">Вводные!$B$18</f>
        <v>3800000</v>
      </c>
      <c r="C3" s="2"/>
    </row>
    <row r="4" customFormat="false" ht="15" hidden="false" customHeight="false" outlineLevel="0" collapsed="false">
      <c r="A4" s="4" t="s">
        <v>112</v>
      </c>
      <c r="B4" s="26" t="n">
        <f aca="false">IF(MAX(Помесячно!S4:S39)&lt;0,"больше 36",COUNTIF(Помесячно!S4:S39,"&lt;0")+1)</f>
        <v>31</v>
      </c>
      <c r="C4" s="2" t="s">
        <v>113</v>
      </c>
    </row>
    <row r="5" customFormat="false" ht="15" hidden="false" customHeight="false" outlineLevel="0" collapsed="false">
      <c r="A5" s="4" t="s">
        <v>114</v>
      </c>
      <c r="B5" s="27" t="n">
        <f aca="false">IFERROR(B3/B14,"—")</f>
        <v>17.8907721280603</v>
      </c>
      <c r="C5" s="2" t="s">
        <v>115</v>
      </c>
    </row>
    <row r="6" customFormat="false" ht="15" hidden="false" customHeight="false" outlineLevel="0" collapsed="false">
      <c r="A6" s="4" t="s">
        <v>116</v>
      </c>
      <c r="B6" s="25" t="n">
        <f aca="false">SUM(Помесячно!R4:R15)</f>
        <v>1226880</v>
      </c>
      <c r="C6" s="2"/>
    </row>
    <row r="7" customFormat="false" ht="15" hidden="false" customHeight="false" outlineLevel="0" collapsed="false">
      <c r="A7" s="4" t="s">
        <v>117</v>
      </c>
      <c r="B7" s="25" t="n">
        <f aca="false">SUM(Помесячно!R16:R27)</f>
        <v>1827360</v>
      </c>
      <c r="C7" s="2"/>
    </row>
    <row r="8" customFormat="false" ht="15" hidden="false" customHeight="false" outlineLevel="0" collapsed="false">
      <c r="A8" s="4" t="s">
        <v>118</v>
      </c>
      <c r="B8" s="25" t="n">
        <f aca="false">SUM(Помесячно!R28:R39)</f>
        <v>1827360</v>
      </c>
      <c r="C8" s="2"/>
    </row>
    <row r="9" customFormat="false" ht="15" hidden="false" customHeight="false" outlineLevel="0" collapsed="false">
      <c r="A9" s="4" t="s">
        <v>119</v>
      </c>
      <c r="B9" s="25" t="n">
        <f aca="false">Помесячно!S39</f>
        <v>1081600</v>
      </c>
      <c r="C9" s="2" t="s">
        <v>120</v>
      </c>
    </row>
    <row r="10" customFormat="false" ht="15" hidden="false" customHeight="false" outlineLevel="0" collapsed="false">
      <c r="A10" s="4" t="s">
        <v>121</v>
      </c>
      <c r="B10" s="28" t="n">
        <f aca="false">IFERROR(SUM(Помесячно!Q28:Q39)/B3,0)</f>
        <v>0.196673684210526</v>
      </c>
      <c r="C10" s="2" t="s">
        <v>122</v>
      </c>
    </row>
    <row r="11" customFormat="false" ht="15" hidden="false" customHeight="false" outlineLevel="0" collapsed="false">
      <c r="A11" s="4" t="s">
        <v>123</v>
      </c>
      <c r="B11" s="25" t="n">
        <f aca="false">IFERROR((Вводные!$B$8+Вводные!$B$9+Вводные!$B$10+Вводные!$B$11+Вводные!$B$13)/(1-Вводные!$B$5-Вводные!$B$6-Вводные!$B$7),"—")</f>
        <v>971428.571428572</v>
      </c>
      <c r="C11" s="2" t="s">
        <v>124</v>
      </c>
    </row>
    <row r="12" customFormat="false" ht="15" hidden="false" customHeight="false" outlineLevel="0" collapsed="false">
      <c r="A12" s="4" t="s">
        <v>125</v>
      </c>
      <c r="B12" s="25" t="n">
        <f aca="false">AVERAGE(Помесячно!F28:F39)</f>
        <v>1090000</v>
      </c>
      <c r="C12" s="2" t="s">
        <v>126</v>
      </c>
    </row>
    <row r="13" customFormat="false" ht="15" hidden="false" customHeight="false" outlineLevel="0" collapsed="false">
      <c r="A13" s="4" t="s">
        <v>127</v>
      </c>
      <c r="B13" s="28" t="n">
        <f aca="false">IFERROR(1-B11/B12,0)</f>
        <v>0.108781127129751</v>
      </c>
      <c r="C13" s="2" t="s">
        <v>128</v>
      </c>
    </row>
    <row r="14" customFormat="false" ht="15" hidden="false" customHeight="false" outlineLevel="0" collapsed="false">
      <c r="A14" s="4" t="s">
        <v>129</v>
      </c>
      <c r="B14" s="25" t="n">
        <f aca="false">(Вводные!$B$4*(1-Вводные!$B$5-Вводные!$B$6-Вводные!$B$7)-(Вводные!$B$8+Вводные!$B$9+Вводные!$B$10+Вводные!$B$11+Вводные!$B$13))-IF(Вводные!$B$14="УСН доходы",Вводные!$B$4*Вводные!$B$16,MAX(0,Вводные!$B$4*(1-Вводные!$B$5-Вводные!$B$6-Вводные!$B$7)-(Вводные!$B$8+Вводные!$B$9+Вводные!$B$10+Вводные!$B$11+Вводные!$B$13))*Вводные!$B$15)+IF(Вводные!$B$12=1,Вводные!$B$11,0)</f>
        <v>212400</v>
      </c>
      <c r="C1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2026-10-10T01:42:26Z</dcterms:created>
  <dc:creator>openpyxl</dc:creator>
  <dc:description/>
  <dc:language>en-US</dc:language>
  <cp:lastModifiedBy/>
  <dcterms:modified xsi:type="dcterms:W3CDTF">2026-10-10T04:42:27Z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