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 пользоваться" sheetId="1" state="visible" r:id="rId3"/>
    <sheet name="Допущения" sheetId="2" state="visible" r:id="rId4"/>
    <sheet name="Итоги" sheetId="3" state="visible" r:id="rId5"/>
    <sheet name="Модель" sheetId="4" state="visible" r:id="rId6"/>
    <sheet name="Сценарии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<sst xmlns="http://schemas.openxmlformats.org/spreadsheetml/2006/main" count="192" uniqueCount="190">
  <si>
    <t xml:space="preserve">Финансовая модель бизнеса на 24 месяца</t>
  </si>
  <si>
    <t xml:space="preserve">Книга «Всё о бизнесе» на сайте «Франчайз Центр» — практикум, глава «Шаблон финансовой модели бизнеса».</t>
  </si>
  <si>
    <t xml:space="preserve">Что это</t>
  </si>
  <si>
    <t xml:space="preserve">Помесячная модель малого бизнеса на 2 года: инвестиции, выход на план (раскачка), сезонность, переменные и постоянные расходы, налог на УСН, взносы ИП, кредит с аннуитетным платежом, прибыль, движение денег и остаток на счёте.</t>
  </si>
  <si>
    <t xml:space="preserve">В файле заполнен условный пример кофейни из главы «Финансовая модель бизнеса»: инвестиции 3 млн ₽, план 1,2 млн ₽ в месяц, раскачка 50–90% в первые пять месяцев, переменные 35%, постоянные 500 000 ₽, УСН 6% с выручки. Базовый сценарий окупается за 20 месяцев, как в главе.</t>
  </si>
  <si>
    <t xml:space="preserve">Как заполнять</t>
  </si>
  <si>
    <t xml:space="preserve">1. Лист «Допущения» — все исходные цифры: инвестиции по статьям, свои деньги и кредит, выручка в хороший месяц, раскачка, сезонность, переменные и постоянные расходы, налоговый режим, взносы ИП. Меняйте только жёлтые ячейки.</t>
  </si>
  <si>
    <t xml:space="preserve">2. Лист «Модель» считается сам — ничего не вводите. Сценарий для него выбирается на листе «Допущения» (1, 2 или 3).</t>
  </si>
  <si>
    <t xml:space="preserve">3. Лист «Сценарии» — пессимистичный, базовый и оптимистичный варианты рядом: выручка −20%, план, +20% (множители — на «Допущениях»).</t>
  </si>
  <si>
    <t xml:space="preserve">4. Лист «Итоги» — точка безубыточности, окупаемость, минимальный остаток денег и в каком месяце, прибыль за 1-й и 2-й год.</t>
  </si>
  <si>
    <t xml:space="preserve">Обозначения</t>
  </si>
  <si>
    <t xml:space="preserve">Синий текст на жёлтом фоне — вводные, их меняете вы.</t>
  </si>
  <si>
    <t xml:space="preserve">Чёрный текст — формулы, их не трогайте.</t>
  </si>
  <si>
    <t xml:space="preserve">Зелёный текст — ссылка на другой лист.</t>
  </si>
  <si>
    <t xml:space="preserve">Как читать результат</t>
  </si>
  <si>
    <t xml:space="preserve">• Окупаемость — месяц, в котором накопленный денежный поток (после налога и платежей по кредиту) покрыл ваши собственные вложения (инвестиции минус кредит). Если это больше 24 месяцев, модель оценивает срок по последнему месяцу.</t>
  </si>
  <si>
    <t xml:space="preserve">• Минимальный остаток денег — самая низкая точка на счёте. Если он отрицательный, денег на старте не хватит: увеличьте свои деньги, кредит или резерв.</t>
  </si>
  <si>
    <t xml:space="preserve">• Точка безубыточности — выручка в месяц, при которой бизнес работает в ноль (без учёта процентов по кредиту).</t>
  </si>
  <si>
    <t xml:space="preserve">Упрощения модели</t>
  </si>
  <si>
    <t xml:space="preserve">• Налог считается помесячно: УСН 6% — с выручки без уменьшения на взносы (осторожная оценка; ИП без работников может уменьшить налог на взносы за себя); УСН 15% — с разницы доходов и расходов, но не меньше 1% выручки. Авансы на деле платятся раз в квартал.</t>
  </si>
  <si>
    <t xml:space="preserve">• НДС не учтён: при доходе до 20 млн ₽ за прошлый год упрощенцы в 2026 году от него освобождены, общепит освобождён при условиях ст. 149 НК. Если ваш доход выше — добавьте НДС в переменные расходы.</t>
  </si>
  <si>
    <t xml:space="preserve">• Взносы ИП за себя в примере не учтены (0 ₽), как в главе. В 2026 году это 57 390 ₽ + 1% дохода свыше 300 000 ₽ — впишите свою сумму в месяц.</t>
  </si>
  <si>
    <t xml:space="preserve">• Зарплату собственника, если вы работаете в бизнесе, включите в постоянные расходы.</t>
  </si>
  <si>
    <t xml:space="preserve">• Цифры на октябрь 2026 года. Ставки и лимиты меняются — сверьтесь с nalog.gov.ru или с бухгалтером.</t>
  </si>
  <si>
    <t xml:space="preserve">Допущения</t>
  </si>
  <si>
    <t xml:space="preserve">Жёлтые ячейки — ваши цифры. Пример — условная кофейня из главы «Финансовая модель бизнеса».</t>
  </si>
  <si>
    <t xml:space="preserve">Инвестиции до открытия, ₽</t>
  </si>
  <si>
    <t xml:space="preserve">Ремонт и отделка</t>
  </si>
  <si>
    <t xml:space="preserve">По смете подрядчика + 15–20% запаса</t>
  </si>
  <si>
    <t xml:space="preserve">Оборудование</t>
  </si>
  <si>
    <t xml:space="preserve">Кофемашина, кофемолки, холодильники, витрина</t>
  </si>
  <si>
    <t xml:space="preserve">Мебель и вывеска</t>
  </si>
  <si>
    <t xml:space="preserve">Депозит и первый месяц аренды</t>
  </si>
  <si>
    <t xml:space="preserve">По договору аренды</t>
  </si>
  <si>
    <t xml:space="preserve">Первый закуп продуктов и упаковки</t>
  </si>
  <si>
    <t xml:space="preserve">Маркетинг к открытию</t>
  </si>
  <si>
    <t xml:space="preserve">Вывеска на картах, листовки, акции открытия</t>
  </si>
  <si>
    <t xml:space="preserve">Регистрация, касса, прочее</t>
  </si>
  <si>
    <t xml:space="preserve">Онлайн-касса, программа учёта, мелочи</t>
  </si>
  <si>
    <t xml:space="preserve">Инвестиции, всего</t>
  </si>
  <si>
    <t xml:space="preserve">Деньги на старте и кредит</t>
  </si>
  <si>
    <t xml:space="preserve">Собственные деньги на старте, ₽</t>
  </si>
  <si>
    <t xml:space="preserve">Сколько вы вкладываете своих денег: инвестиции + резерв на убытки первых месяцев</t>
  </si>
  <si>
    <t xml:space="preserve">Кредит, сумма, ₽</t>
  </si>
  <si>
    <t xml:space="preserve">0 — без кредита. Деньги кредита приходят на счёт в месяц открытия</t>
  </si>
  <si>
    <t xml:space="preserve">Кредит, ставка годовых</t>
  </si>
  <si>
    <t xml:space="preserve">Аннуитет: равные платежи каждый месяц</t>
  </si>
  <si>
    <t xml:space="preserve">Кредит, срок, месяцев</t>
  </si>
  <si>
    <t xml:space="preserve">Выручка и сценарии</t>
  </si>
  <si>
    <t xml:space="preserve">Выручка в хороший месяц на плановом уровне, ₽</t>
  </si>
  <si>
    <t xml:space="preserve">Осторожная оценка: трафик × конверсия × средний чек, не лучший месяц</t>
  </si>
  <si>
    <t xml:space="preserve">Сценарий для листа «Модель» (1, 2 или 3)</t>
  </si>
  <si>
    <t xml:space="preserve">1 — пессимистичный, 2 — базовый, 3 — оптимистичный</t>
  </si>
  <si>
    <t xml:space="preserve">Множитель выручки: пессимистичный</t>
  </si>
  <si>
    <t xml:space="preserve">План −20%</t>
  </si>
  <si>
    <t xml:space="preserve">Множитель выручки: базовый</t>
  </si>
  <si>
    <t xml:space="preserve">Множитель выручки: оптимистичный</t>
  </si>
  <si>
    <t xml:space="preserve">План +20%</t>
  </si>
  <si>
    <t xml:space="preserve">Месяц открытия (1 — январь … 12 — декабрь)</t>
  </si>
  <si>
    <t xml:space="preserve">Влияет на то, на какие месяцы придётся сезонность</t>
  </si>
  <si>
    <t xml:space="preserve">Раскачка: доля от плана в первые 12 месяцев</t>
  </si>
  <si>
    <t xml:space="preserve">Месяц работы 1</t>
  </si>
  <si>
    <t xml:space="preserve">Новый бизнес ещё не знают</t>
  </si>
  <si>
    <t xml:space="preserve">Месяц работы 2</t>
  </si>
  <si>
    <t xml:space="preserve">Месяц работы 3</t>
  </si>
  <si>
    <t xml:space="preserve">Месяц работы 4</t>
  </si>
  <si>
    <t xml:space="preserve">Месяц работы 5</t>
  </si>
  <si>
    <t xml:space="preserve">Месяц работы 6</t>
  </si>
  <si>
    <t xml:space="preserve">Месяц работы 7</t>
  </si>
  <si>
    <t xml:space="preserve">Месяц работы 8</t>
  </si>
  <si>
    <t xml:space="preserve">Месяц работы 9</t>
  </si>
  <si>
    <t xml:space="preserve">Месяц работы 10</t>
  </si>
  <si>
    <t xml:space="preserve">Месяц работы 11</t>
  </si>
  <si>
    <t xml:space="preserve">Месяц работы 12</t>
  </si>
  <si>
    <t xml:space="preserve">С 13-го месяца — 100% плана</t>
  </si>
  <si>
    <t xml:space="preserve">Сезонность: коэффициент к плану по календарным месяцам</t>
  </si>
  <si>
    <t xml:space="preserve">Январь</t>
  </si>
  <si>
    <t xml:space="preserve">В примере сезонности нет. Кофейня у офисов: летом 0,7–0,8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</si>
  <si>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</si>
  <si>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</si>
  <si>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</si>
  <si>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</si>
  <si>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</si>
  <si>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</si>
  <si>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</si>
  <si>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</si>
  <si>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</si>
  <si>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</si>
  <si>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</si>
  <si>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Переменные расходы, доля выручки</t>
  </si>
  <si>
    <t xml:space="preserve">Продукты и сырьё</t>
  </si>
  <si>
    <t xml:space="preserve">Фудкост, товар</t>
  </si>
  <si>
    <t xml:space="preserve">Упаковка и расходники</t>
  </si>
  <si>
    <t xml:space="preserve">Эквайринг и комиссии</t>
  </si>
  <si>
    <t xml:space="preserve">Карты, СБП, агрегаторы</t>
  </si>
  <si>
    <t xml:space="preserve">Переменные расходы, всего</t>
  </si>
  <si>
    <t xml:space="preserve">Постоянные расходы, ₽ в месяц</t>
  </si>
  <si>
    <t xml:space="preserve">Аренда</t>
  </si>
  <si>
    <t xml:space="preserve">По договору</t>
  </si>
  <si>
    <t xml:space="preserve">Зарплата персонала с НДФЛ и взносами</t>
  </si>
  <si>
    <t xml:space="preserve">Включите и зарплату собственника, если работаете в бизнесе</t>
  </si>
  <si>
    <t xml:space="preserve">Коммунальные услуги</t>
  </si>
  <si>
    <t xml:space="preserve">Связь, программы, касса</t>
  </si>
  <si>
    <t xml:space="preserve">Бухгалтер</t>
  </si>
  <si>
    <t xml:space="preserve">Маркетинг</t>
  </si>
  <si>
    <t xml:space="preserve">Прочее</t>
  </si>
  <si>
    <t xml:space="preserve">Ремонт оборудования, хозтовары, мелочи</t>
  </si>
  <si>
    <t xml:space="preserve">Постоянные расходы, всего</t>
  </si>
  <si>
    <t xml:space="preserve">Налог и взносы</t>
  </si>
  <si>
    <t xml:space="preserve">Налоговый режим (1 — УСН 6% с выручки, 2 — УСН 15% с разницы)</t>
  </si>
  <si>
    <t xml:space="preserve">Пример главы: 1 — УСН 6% без уменьшения на взносы, осторожная оценка</t>
  </si>
  <si>
    <t xml:space="preserve">Ставка УСН «доходы»</t>
  </si>
  <si>
    <t xml:space="preserve">Регион может снизить до 1%</t>
  </si>
  <si>
    <t xml:space="preserve">Ставка УСН «доходы минус расходы»</t>
  </si>
  <si>
    <t xml:space="preserve">Регион может снизить до 5%</t>
  </si>
  <si>
    <t xml:space="preserve">Минимальный налог на УСН 15%, доля выручки</t>
  </si>
  <si>
    <t xml:space="preserve">Взносы ИП за себя, ₽ в месяц</t>
  </si>
  <si>
    <t xml:space="preserve">В примере 0, как в главе. 2026: 57 390 ₽ в год ≈ 4 783 ₽ в месяц + 1% дохода свыше 300 000 ₽</t>
  </si>
  <si>
    <t xml:space="preserve">Собственные вложения для расчёта окупаемости, ₽</t>
  </si>
  <si>
    <t xml:space="preserve">Инвестиции минус кредит: окупаемость — когда вернулись ваши деньги</t>
  </si>
  <si>
    <t xml:space="preserve">Итоги</t>
  </si>
  <si>
    <t xml:space="preserve">Инвестиции, ₽</t>
  </si>
  <si>
    <t xml:space="preserve">Точка безубыточности: выручка в месяц, ₽</t>
  </si>
  <si>
    <t xml:space="preserve">Постоянные расходы ÷ доля выручки, которая остаётся после переменных расходов и налога; без процентов по кредиту</t>
  </si>
  <si>
    <t xml:space="preserve">Окупаемость собственных вложений, месяцев</t>
  </si>
  <si>
    <t xml:space="preserve">Месяц, когда накопленный поток покрыл инвестиции минус кредит; больше 24 — оценка по 24-му месяцу</t>
  </si>
  <si>
    <t xml:space="preserve">Окупаемость в пределах 24 месяцев модели?</t>
  </si>
  <si>
    <t xml:space="preserve">Минимальный остаток денег на счёте, ₽</t>
  </si>
  <si>
    <t xml:space="preserve">Отрицательный — денег на старте не хватит: добавьте свои деньги, кредит или резерв</t>
  </si>
  <si>
    <t xml:space="preserve">Месяц минимального остатка</t>
  </si>
  <si>
    <t xml:space="preserve">Нужно денег сверх инвестиций на убытки первых месяцев, ₽</t>
  </si>
  <si>
    <t xml:space="preserve">Резерв, который должен быть на счёте в день открытия</t>
  </si>
  <si>
    <t xml:space="preserve">Выручка за 1-й год, ₽</t>
  </si>
  <si>
    <t xml:space="preserve">Чистая прибыль за 1-й год, ₽</t>
  </si>
  <si>
    <t xml:space="preserve">После налога и процентов по кредиту</t>
  </si>
  <si>
    <t xml:space="preserve">Чистая прибыль за 2-й год, ₽</t>
  </si>
  <si>
    <t xml:space="preserve">Остаток денег на конец 24-го месяца, ₽</t>
  </si>
  <si>
    <t xml:space="preserve">Сравнение сценариев — на листе «Сценарии».</t>
  </si>
  <si>
    <t xml:space="preserve">Помесячный расчёт, ₽ (лист считается сам)</t>
  </si>
  <si>
    <t xml:space="preserve">Месяц работы</t>
  </si>
  <si>
    <t xml:space="preserve">Календарный месяц</t>
  </si>
  <si>
    <t xml:space="preserve">Раскачка</t>
  </si>
  <si>
    <t xml:space="preserve">Сезон</t>
  </si>
  <si>
    <t xml:space="preserve">Множитель сценария</t>
  </si>
  <si>
    <t xml:space="preserve">Выручка</t>
  </si>
  <si>
    <t xml:space="preserve">Переменные расходы</t>
  </si>
  <si>
    <t xml:space="preserve">Валовая прибыль</t>
  </si>
  <si>
    <t xml:space="preserve">Постоянные расходы</t>
  </si>
  <si>
    <t xml:space="preserve">Взносы ИП</t>
  </si>
  <si>
    <t xml:space="preserve">Проценты по кредиту</t>
  </si>
  <si>
    <t xml:space="preserve">Прибыль до налога</t>
  </si>
  <si>
    <t xml:space="preserve">Налог УСН</t>
  </si>
  <si>
    <t xml:space="preserve">Чистая прибыль</t>
  </si>
  <si>
    <t xml:space="preserve">Погашение долга</t>
  </si>
  <si>
    <t xml:space="preserve">Платёж по кредиту</t>
  </si>
  <si>
    <t xml:space="preserve">Остаток долга</t>
  </si>
  <si>
    <t xml:space="preserve">Чистый денежный поток</t>
  </si>
  <si>
    <t xml:space="preserve">Накопленный поток</t>
  </si>
  <si>
    <t xml:space="preserve">Остаток денег на счёте</t>
  </si>
  <si>
    <t xml:space="preserve">Окупилось в этом месяце</t>
  </si>
  <si>
    <t xml:space="preserve">Итого за 24 мес.</t>
  </si>
  <si>
    <t xml:space="preserve">Три сценария рядом (лист считается сам)</t>
  </si>
  <si>
    <t xml:space="preserve">Расходы, кредит и налоговый режим — общие, меняется только выручка (множители — на листе «Допущения»).</t>
  </si>
  <si>
    <t xml:space="preserve">Показатель</t>
  </si>
  <si>
    <t xml:space="preserve">Пессимистичный</t>
  </si>
  <si>
    <t xml:space="preserve">Базовый</t>
  </si>
  <si>
    <t xml:space="preserve">Оптимистичный</t>
  </si>
  <si>
    <t xml:space="preserve">Выручка в первый месяц, ₽</t>
  </si>
  <si>
    <t xml:space="preserve">Прибыль в первый месяц, ₽</t>
  </si>
  <si>
    <t xml:space="preserve">Выручка на плато (план × множитель), ₽</t>
  </si>
  <si>
    <t xml:space="preserve">Прибыль в месяц на плато, ₽ (без сезонности и процентов)</t>
  </si>
  <si>
    <t xml:space="preserve">Прибыль за первый год, ₽</t>
  </si>
  <si>
    <t xml:space="preserve">Окупаемость, месяцев</t>
  </si>
  <si>
    <t xml:space="preserve">Помесячно по сценариям, ₽</t>
  </si>
  <si>
    <t xml:space="preserve">Месяц</t>
  </si>
  <si>
    <t xml:space="preserve">Пессимистичный: Выручка</t>
  </si>
  <si>
    <t xml:space="preserve">Пессимистичный: Чистая прибыль</t>
  </si>
  <si>
    <t xml:space="preserve">Пессимистичный: Чистый поток</t>
  </si>
  <si>
    <t xml:space="preserve">Пессимистичный: Накопленный поток</t>
  </si>
  <si>
    <t xml:space="preserve">Пессимистичный: Окупилось</t>
  </si>
  <si>
    <t xml:space="preserve">Базовый: Выручка</t>
  </si>
  <si>
    <t xml:space="preserve">Базовый: Чистая прибыль</t>
  </si>
  <si>
    <t xml:space="preserve">Базовый: Чистый поток</t>
  </si>
  <si>
    <t xml:space="preserve">Базовый: Накопленный поток</t>
  </si>
  <si>
    <t xml:space="preserve">Базовый: Окупилось</t>
  </si>
  <si>
    <t xml:space="preserve">Оптимистичный: Выручка</t>
  </si>
  <si>
    <t xml:space="preserve">Оптимистичный: Чистая прибыль</t>
  </si>
  <si>
    <t xml:space="preserve">Оптимистичный: Чистый поток</t>
  </si>
  <si>
    <t xml:space="preserve">Оптимистичный: Накопленный поток</t>
  </si>
  <si>
    <t xml:space="preserve">Оптимистичный: Окупилось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</si>
</sst>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;\(0.0%\);\-"/>
    <numFmt numFmtId="167" formatCode="0"/>
    <numFmt numFmtId="168" formatCode="0.00"/>
    <numFmt numFmtId="169" formatCode="@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E6F5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DCE6F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4" t="s">
        <v>3</v>
      </c>
    </row>
    <row r="6" customFormat="false" ht="39.55" hidden="false" customHeight="fals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26.8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4" t="s">
        <v>7</v>
      </c>
    </row>
    <row r="11" customFormat="false" ht="26.8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6" t="s">
        <v>13</v>
      </c>
    </row>
    <row r="19" customFormat="false" ht="15" hidden="false" customHeight="false" outlineLevel="0" collapsed="false">
      <c r="A19" s="3" t="s">
        <v>14</v>
      </c>
    </row>
    <row r="20" customFormat="false" ht="26.85" hidden="false" customHeight="false" outlineLevel="0" collapsed="false">
      <c r="A20" s="4" t="s">
        <v>15</v>
      </c>
    </row>
    <row r="21" customFormat="false" ht="26.8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4" t="s">
        <v>17</v>
      </c>
    </row>
    <row r="24" customFormat="false" ht="15" hidden="false" customHeight="false" outlineLevel="0" collapsed="false">
      <c r="A24" s="3" t="s">
        <v>18</v>
      </c>
    </row>
    <row r="25" customFormat="false" ht="39.55" hidden="false" customHeight="false" outlineLevel="0" collapsed="false">
      <c r="A25" s="4" t="s">
        <v>19</v>
      </c>
    </row>
    <row r="26" customFormat="false" ht="26.85" hidden="false" customHeight="false" outlineLevel="0" collapsed="false">
      <c r="A26" s="4" t="s">
        <v>20</v>
      </c>
    </row>
    <row r="27" customFormat="false" ht="26.85" hidden="false" customHeight="false" outlineLevel="0" collapsed="false">
      <c r="A27" s="4" t="s">
        <v>21</v>
      </c>
    </row>
    <row r="28" customFormat="false" ht="15" hidden="false" customHeight="false" outlineLevel="0" collapsed="false">
      <c r="A28" s="4" t="s">
        <v>22</v>
      </c>
    </row>
    <row r="29" customFormat="false" ht="15" hidden="false" customHeight="false" outlineLevel="0" collapsed="false">
      <c r="A29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7" t="s">
        <v>24</v>
      </c>
    </row>
    <row r="2" customFormat="false" ht="15" hidden="false" customHeight="false" outlineLevel="0" collapsed="false">
      <c r="A2" s="8" t="s">
        <v>25</v>
      </c>
    </row>
    <row r="4" customFormat="false" ht="15" hidden="false" customHeight="false" outlineLevel="0" collapsed="false">
      <c r="A4" s="9" t="s">
        <v>26</v>
      </c>
      <c r="B4" s="10"/>
      <c r="C4" s="10"/>
    </row>
    <row r="5" customFormat="false" ht="15" hidden="false" customHeight="false" outlineLevel="0" collapsed="false">
      <c r="A5" s="11" t="s">
        <v>27</v>
      </c>
      <c r="B5" s="12" t="n">
        <v>1000000</v>
      </c>
      <c r="C5" s="2" t="s">
        <v>28</v>
      </c>
    </row>
    <row r="6" customFormat="false" ht="15" hidden="false" customHeight="false" outlineLevel="0" collapsed="false">
      <c r="A6" s="11" t="s">
        <v>29</v>
      </c>
      <c r="B6" s="12" t="n">
        <v>1200000</v>
      </c>
      <c r="C6" s="2" t="s">
        <v>30</v>
      </c>
    </row>
    <row r="7" customFormat="false" ht="15" hidden="false" customHeight="false" outlineLevel="0" collapsed="false">
      <c r="A7" s="11" t="s">
        <v>31</v>
      </c>
      <c r="B7" s="12" t="n">
        <v>250000</v>
      </c>
    </row>
    <row r="8" customFormat="false" ht="15" hidden="false" customHeight="false" outlineLevel="0" collapsed="false">
      <c r="A8" s="11" t="s">
        <v>32</v>
      </c>
      <c r="B8" s="12" t="n">
        <v>200000</v>
      </c>
      <c r="C8" s="2" t="s">
        <v>33</v>
      </c>
    </row>
    <row r="9" customFormat="false" ht="15" hidden="false" customHeight="false" outlineLevel="0" collapsed="false">
      <c r="A9" s="11" t="s">
        <v>34</v>
      </c>
      <c r="B9" s="12" t="n">
        <v>150000</v>
      </c>
    </row>
    <row r="10" customFormat="false" ht="15" hidden="false" customHeight="false" outlineLevel="0" collapsed="false">
      <c r="A10" s="11" t="s">
        <v>35</v>
      </c>
      <c r="B10" s="12" t="n">
        <v>100000</v>
      </c>
      <c r="C10" s="2" t="s">
        <v>36</v>
      </c>
    </row>
    <row r="11" customFormat="false" ht="15" hidden="false" customHeight="false" outlineLevel="0" collapsed="false">
      <c r="A11" s="11" t="s">
        <v>37</v>
      </c>
      <c r="B11" s="12" t="n">
        <v>100000</v>
      </c>
      <c r="C11" s="2" t="s">
        <v>38</v>
      </c>
    </row>
    <row r="12" customFormat="false" ht="15" hidden="false" customHeight="false" outlineLevel="0" collapsed="false">
      <c r="A12" s="13" t="s">
        <v>39</v>
      </c>
      <c r="B12" s="14" t="n">
        <f aca="false">SUM(B5:B11)</f>
        <v>3000000</v>
      </c>
      <c r="C12" s="15"/>
    </row>
    <row r="14" customFormat="false" ht="15" hidden="false" customHeight="false" outlineLevel="0" collapsed="false">
      <c r="A14" s="9" t="s">
        <v>40</v>
      </c>
      <c r="B14" s="10"/>
      <c r="C14" s="10"/>
    </row>
    <row r="15" customFormat="false" ht="15" hidden="false" customHeight="false" outlineLevel="0" collapsed="false">
      <c r="A15" s="11" t="s">
        <v>41</v>
      </c>
      <c r="B15" s="12" t="n">
        <v>3300000</v>
      </c>
      <c r="C15" s="2" t="s">
        <v>42</v>
      </c>
    </row>
    <row r="16" customFormat="false" ht="15" hidden="false" customHeight="false" outlineLevel="0" collapsed="false">
      <c r="A16" s="11" t="s">
        <v>43</v>
      </c>
      <c r="B16" s="12" t="n">
        <v>0</v>
      </c>
      <c r="C16" s="2" t="s">
        <v>44</v>
      </c>
    </row>
    <row r="17" customFormat="false" ht="15" hidden="false" customHeight="false" outlineLevel="0" collapsed="false">
      <c r="A17" s="11" t="s">
        <v>45</v>
      </c>
      <c r="B17" s="16" t="n">
        <v>0.2</v>
      </c>
      <c r="C17" s="2" t="s">
        <v>46</v>
      </c>
    </row>
    <row r="18" customFormat="false" ht="15" hidden="false" customHeight="false" outlineLevel="0" collapsed="false">
      <c r="A18" s="11" t="s">
        <v>47</v>
      </c>
      <c r="B18" s="17" t="n">
        <v>36</v>
      </c>
    </row>
    <row r="20" customFormat="false" ht="15" hidden="false" customHeight="false" outlineLevel="0" collapsed="false">
      <c r="A20" s="9" t="s">
        <v>48</v>
      </c>
      <c r="B20" s="10"/>
      <c r="C20" s="10"/>
    </row>
    <row r="21" customFormat="false" ht="15" hidden="false" customHeight="false" outlineLevel="0" collapsed="false">
      <c r="A21" s="11" t="s">
        <v>49</v>
      </c>
      <c r="B21" s="12" t="n">
        <v>1200000</v>
      </c>
      <c r="C21" s="2" t="s">
        <v>50</v>
      </c>
    </row>
    <row r="22" customFormat="false" ht="15" hidden="false" customHeight="false" outlineLevel="0" collapsed="false">
      <c r="A22" s="11" t="s">
        <v>51</v>
      </c>
      <c r="B22" s="17" t="n">
        <v>2</v>
      </c>
      <c r="C22" s="2" t="s">
        <v>52</v>
      </c>
    </row>
    <row r="23" customFormat="false" ht="15" hidden="false" customHeight="false" outlineLevel="0" collapsed="false">
      <c r="A23" s="11" t="s">
        <v>53</v>
      </c>
      <c r="B23" s="16" t="n">
        <v>0.8</v>
      </c>
      <c r="C23" s="2" t="s">
        <v>54</v>
      </c>
    </row>
    <row r="24" customFormat="false" ht="15" hidden="false" customHeight="false" outlineLevel="0" collapsed="false">
      <c r="A24" s="11" t="s">
        <v>55</v>
      </c>
      <c r="B24" s="16" t="n">
        <v>1</v>
      </c>
    </row>
    <row r="25" customFormat="false" ht="15" hidden="false" customHeight="false" outlineLevel="0" collapsed="false">
      <c r="A25" s="11" t="s">
        <v>56</v>
      </c>
      <c r="B25" s="16" t="n">
        <v>1.2</v>
      </c>
      <c r="C25" s="2" t="s">
        <v>57</v>
      </c>
    </row>
    <row r="26" customFormat="false" ht="15" hidden="false" customHeight="false" outlineLevel="0" collapsed="false">
      <c r="A26" s="11" t="s">
        <v>58</v>
      </c>
      <c r="B26" s="17" t="n">
        <v>1</v>
      </c>
      <c r="C26" s="2" t="s">
        <v>59</v>
      </c>
    </row>
    <row r="28" customFormat="false" ht="15" hidden="false" customHeight="false" outlineLevel="0" collapsed="false">
      <c r="A28" s="9" t="s">
        <v>60</v>
      </c>
      <c r="B28" s="10"/>
      <c r="C28" s="10"/>
    </row>
    <row r="29" customFormat="false" ht="15" hidden="false" customHeight="false" outlineLevel="0" collapsed="false">
      <c r="A29" s="11" t="s">
        <v>61</v>
      </c>
      <c r="B29" s="16" t="n">
        <v>0.5</v>
      </c>
      <c r="C29" s="2" t="s">
        <v>62</v>
      </c>
    </row>
    <row r="30" customFormat="false" ht="15" hidden="false" customHeight="false" outlineLevel="0" collapsed="false">
      <c r="A30" s="11" t="s">
        <v>63</v>
      </c>
      <c r="B30" s="16" t="n">
        <v>0.6</v>
      </c>
    </row>
    <row r="31" customFormat="false" ht="15" hidden="false" customHeight="false" outlineLevel="0" collapsed="false">
      <c r="A31" s="11" t="s">
        <v>64</v>
      </c>
      <c r="B31" s="16" t="n">
        <v>0.7</v>
      </c>
    </row>
    <row r="32" customFormat="false" ht="15" hidden="false" customHeight="false" outlineLevel="0" collapsed="false">
      <c r="A32" s="11" t="s">
        <v>65</v>
      </c>
      <c r="B32" s="16" t="n">
        <v>0.8</v>
      </c>
    </row>
    <row r="33" customFormat="false" ht="15" hidden="false" customHeight="false" outlineLevel="0" collapsed="false">
      <c r="A33" s="11" t="s">
        <v>66</v>
      </c>
      <c r="B33" s="16" t="n">
        <v>0.9</v>
      </c>
    </row>
    <row r="34" customFormat="false" ht="15" hidden="false" customHeight="false" outlineLevel="0" collapsed="false">
      <c r="A34" s="11" t="s">
        <v>67</v>
      </c>
      <c r="B34" s="16" t="n">
        <v>1</v>
      </c>
    </row>
    <row r="35" customFormat="false" ht="15" hidden="false" customHeight="false" outlineLevel="0" collapsed="false">
      <c r="A35" s="11" t="s">
        <v>68</v>
      </c>
      <c r="B35" s="16" t="n">
        <v>1</v>
      </c>
    </row>
    <row r="36" customFormat="false" ht="15" hidden="false" customHeight="false" outlineLevel="0" collapsed="false">
      <c r="A36" s="11" t="s">
        <v>69</v>
      </c>
      <c r="B36" s="16" t="n">
        <v>1</v>
      </c>
    </row>
    <row r="37" customFormat="false" ht="15" hidden="false" customHeight="false" outlineLevel="0" collapsed="false">
      <c r="A37" s="11" t="s">
        <v>70</v>
      </c>
      <c r="B37" s="16" t="n">
        <v>1</v>
      </c>
    </row>
    <row r="38" customFormat="false" ht="15" hidden="false" customHeight="false" outlineLevel="0" collapsed="false">
      <c r="A38" s="11" t="s">
        <v>71</v>
      </c>
      <c r="B38" s="16" t="n">
        <v>1</v>
      </c>
    </row>
    <row r="39" customFormat="false" ht="15" hidden="false" customHeight="false" outlineLevel="0" collapsed="false">
      <c r="A39" s="11" t="s">
        <v>72</v>
      </c>
      <c r="B39" s="16" t="n">
        <v>1</v>
      </c>
    </row>
    <row r="40" customFormat="false" ht="15" hidden="false" customHeight="false" outlineLevel="0" collapsed="false">
      <c r="A40" s="11" t="s">
        <v>73</v>
      </c>
      <c r="B40" s="16" t="n">
        <v>1</v>
      </c>
      <c r="C40" s="2" t="s">
        <v>74</v>
      </c>
    </row>
    <row r="42" customFormat="false" ht="15" hidden="false" customHeight="false" outlineLevel="0" collapsed="false">
      <c r="A42" s="9" t="s">
        <v>75</v>
      </c>
      <c r="B42" s="10"/>
      <c r="C42" s="10"/>
    </row>
    <row r="43" customFormat="false" ht="15" hidden="false" customHeight="false" outlineLevel="0" collapsed="false">
      <c r="A43" s="11" t="s">
        <v>76</v>
      </c>
      <c r="B43" s="18" t="n">
        <v>1</v>
      </c>
      <c r="C43" s="2" t="s">
        <v>77</v>
      </c>
    </row>
    <row r="44" customFormat="false" ht="15" hidden="false" customHeight="false" outlineLevel="0" collapsed="false">
      <c r="A44" s="11" t="s">
        <v>78</v>
      </c>
      <c r="B44" s="18" t="n">
        <v>1</v>
      </c>
    </row>
    <row r="45" customFormat="false" ht="15" hidden="false" customHeight="false" outlineLevel="0" collapsed="false">
      <c r="A45" s="11" t="s">
        <v>79</v>
      </c>
      <c r="B45" s="18" t="n">
        <v>1</v>
      </c>
    </row>
    <row r="46" customFormat="false" ht="15" hidden="false" customHeight="false" outlineLevel="0" collapsed="false">
      <c r="A46" s="11" t="s">
        <v>80</v>
      </c>
      <c r="B46" s="18" t="n">
        <v>1</v>
      </c>
    </row>
    <row r="47" customFormat="false" ht="15" hidden="false" customHeight="false" outlineLevel="0" collapsed="false">
      <c r="A47" s="11" t="s">
        <v>81</v>
      </c>
      <c r="B47" s="18" t="n">
        <v>1</v>
      </c>
    </row>
    <row r="48" customFormat="false" ht="15" hidden="false" customHeight="false" outlineLevel="0" collapsed="false">
      <c r="A48" s="11" t="s">
        <v>82</v>
      </c>
      <c r="B48" s="18" t="n">
        <v>1</v>
      </c>
    </row>
    <row r="49" customFormat="false" ht="15" hidden="false" customHeight="false" outlineLevel="0" collapsed="false">
      <c r="A49" s="11" t="s">
        <v>83</v>
      </c>
      <c r="B49" s="18" t="n">
        <v>1</v>
      </c>
    </row>
    <row r="50" customFormat="false" ht="15" hidden="false" customHeight="false" outlineLevel="0" collapsed="false">
      <c r="A50" s="11" t="s">
        <v>84</v>
      </c>
      <c r="B50" s="18" t="n">
        <v>1</v>
      </c>
    </row>
    <row r="51" customFormat="false" ht="15" hidden="false" customHeight="false" outlineLevel="0" collapsed="false">
      <c r="A51" s="11" t="s">
        <v>85</v>
      </c>
      <c r="B51" s="18" t="n">
        <v>1</v>
      </c>
    </row>
    <row r="52" customFormat="false" ht="15" hidden="false" customHeight="false" outlineLevel="0" collapsed="false">
      <c r="A52" s="11" t="s">
        <v>86</v>
      </c>
      <c r="B52" s="18" t="n">
        <v>1</v>
      </c>
    </row>
    <row r="53" customFormat="false" ht="15" hidden="false" customHeight="false" outlineLevel="0" collapsed="false">
      <c r="A53" s="11" t="s">
        <v>87</v>
      </c>
      <c r="B53" s="18" t="n">
        <v>1</v>
      </c>
    </row>
    <row r="54" customFormat="false" ht="15" hidden="false" customHeight="false" outlineLevel="0" collapsed="false">
      <c r="A54" s="11" t="s">
        <v>88</v>
      </c>
      <c r="B54" s="18" t="n">
        <v>1</v>
      </c>
    </row>
    <row r="56" customFormat="false" ht="15" hidden="false" customHeight="false" outlineLevel="0" collapsed="false">
      <c r="A56" s="9" t="s">
        <v>89</v>
      </c>
      <c r="B56" s="10"/>
      <c r="C56" s="10"/>
    </row>
    <row r="57" customFormat="false" ht="15" hidden="false" customHeight="false" outlineLevel="0" collapsed="false">
      <c r="A57" s="11" t="s">
        <v>90</v>
      </c>
      <c r="B57" s="16" t="n">
        <v>0.3</v>
      </c>
      <c r="C57" s="2" t="s">
        <v>91</v>
      </c>
    </row>
    <row r="58" customFormat="false" ht="15" hidden="false" customHeight="false" outlineLevel="0" collapsed="false">
      <c r="A58" s="11" t="s">
        <v>92</v>
      </c>
      <c r="B58" s="16" t="n">
        <v>0.03</v>
      </c>
    </row>
    <row r="59" customFormat="false" ht="15" hidden="false" customHeight="false" outlineLevel="0" collapsed="false">
      <c r="A59" s="11" t="s">
        <v>93</v>
      </c>
      <c r="B59" s="16" t="n">
        <v>0.02</v>
      </c>
      <c r="C59" s="2" t="s">
        <v>94</v>
      </c>
    </row>
    <row r="60" customFormat="false" ht="15" hidden="false" customHeight="false" outlineLevel="0" collapsed="false">
      <c r="A60" s="13" t="s">
        <v>95</v>
      </c>
      <c r="B60" s="19" t="n">
        <f aca="false">SUM(B57:B59)</f>
        <v>0.35</v>
      </c>
      <c r="C60" s="15"/>
    </row>
    <row r="62" customFormat="false" ht="15" hidden="false" customHeight="false" outlineLevel="0" collapsed="false">
      <c r="A62" s="9" t="s">
        <v>96</v>
      </c>
      <c r="B62" s="10"/>
      <c r="C62" s="10"/>
    </row>
    <row r="63" customFormat="false" ht="15" hidden="false" customHeight="false" outlineLevel="0" collapsed="false">
      <c r="A63" s="11" t="s">
        <v>97</v>
      </c>
      <c r="B63" s="12" t="n">
        <v>180000</v>
      </c>
      <c r="C63" s="2" t="s">
        <v>98</v>
      </c>
    </row>
    <row r="64" customFormat="false" ht="15" hidden="false" customHeight="false" outlineLevel="0" collapsed="false">
      <c r="A64" s="11" t="s">
        <v>99</v>
      </c>
      <c r="B64" s="12" t="n">
        <v>260000</v>
      </c>
      <c r="C64" s="2" t="s">
        <v>100</v>
      </c>
    </row>
    <row r="65" customFormat="false" ht="15" hidden="false" customHeight="false" outlineLevel="0" collapsed="false">
      <c r="A65" s="11" t="s">
        <v>101</v>
      </c>
      <c r="B65" s="12" t="n">
        <v>25000</v>
      </c>
    </row>
    <row r="66" customFormat="false" ht="15" hidden="false" customHeight="false" outlineLevel="0" collapsed="false">
      <c r="A66" s="11" t="s">
        <v>102</v>
      </c>
      <c r="B66" s="12" t="n">
        <v>10000</v>
      </c>
    </row>
    <row r="67" customFormat="false" ht="15" hidden="false" customHeight="false" outlineLevel="0" collapsed="false">
      <c r="A67" s="11" t="s">
        <v>103</v>
      </c>
      <c r="B67" s="12" t="n">
        <v>10000</v>
      </c>
    </row>
    <row r="68" customFormat="false" ht="15" hidden="false" customHeight="false" outlineLevel="0" collapsed="false">
      <c r="A68" s="11" t="s">
        <v>104</v>
      </c>
      <c r="B68" s="12" t="n">
        <v>10000</v>
      </c>
    </row>
    <row r="69" customFormat="false" ht="15" hidden="false" customHeight="false" outlineLevel="0" collapsed="false">
      <c r="A69" s="11" t="s">
        <v>105</v>
      </c>
      <c r="B69" s="12" t="n">
        <v>5000</v>
      </c>
      <c r="C69" s="2" t="s">
        <v>106</v>
      </c>
    </row>
    <row r="70" customFormat="false" ht="15" hidden="false" customHeight="false" outlineLevel="0" collapsed="false">
      <c r="A70" s="13" t="s">
        <v>107</v>
      </c>
      <c r="B70" s="14" t="n">
        <f aca="false">SUM(B63:B69)</f>
        <v>500000</v>
      </c>
      <c r="C70" s="15"/>
    </row>
    <row r="72" customFormat="false" ht="15" hidden="false" customHeight="false" outlineLevel="0" collapsed="false">
      <c r="A72" s="9" t="s">
        <v>108</v>
      </c>
      <c r="B72" s="10"/>
      <c r="C72" s="10"/>
    </row>
    <row r="73" customFormat="false" ht="15" hidden="false" customHeight="false" outlineLevel="0" collapsed="false">
      <c r="A73" s="11" t="s">
        <v>109</v>
      </c>
      <c r="B73" s="17" t="n">
        <v>1</v>
      </c>
      <c r="C73" s="2" t="s">
        <v>110</v>
      </c>
    </row>
    <row r="74" customFormat="false" ht="15" hidden="false" customHeight="false" outlineLevel="0" collapsed="false">
      <c r="A74" s="11" t="s">
        <v>111</v>
      </c>
      <c r="B74" s="16" t="n">
        <v>0.06</v>
      </c>
      <c r="C74" s="2" t="s">
        <v>112</v>
      </c>
    </row>
    <row r="75" customFormat="false" ht="15" hidden="false" customHeight="false" outlineLevel="0" collapsed="false">
      <c r="A75" s="11" t="s">
        <v>113</v>
      </c>
      <c r="B75" s="16" t="n">
        <v>0.15</v>
      </c>
      <c r="C75" s="2" t="s">
        <v>114</v>
      </c>
    </row>
    <row r="76" customFormat="false" ht="15" hidden="false" customHeight="false" outlineLevel="0" collapsed="false">
      <c r="A76" s="11" t="s">
        <v>115</v>
      </c>
      <c r="B76" s="16" t="n">
        <v>0.01</v>
      </c>
    </row>
    <row r="77" customFormat="false" ht="22.35" hidden="false" customHeight="false" outlineLevel="0" collapsed="false">
      <c r="A77" s="11" t="s">
        <v>116</v>
      </c>
      <c r="B77" s="12" t="n">
        <v>0</v>
      </c>
      <c r="C77" s="2" t="s">
        <v>117</v>
      </c>
    </row>
    <row r="79" customFormat="false" ht="15" hidden="false" customHeight="false" outlineLevel="0" collapsed="false">
      <c r="A79" s="13" t="s">
        <v>118</v>
      </c>
      <c r="B79" s="14" t="n">
        <f aca="false">MAX(0,Допущения!$B$12-Допущения!$B$16)</f>
        <v>3000000</v>
      </c>
      <c r="C79" s="20" t="s">
        <v>119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  <col collapsed="false" customWidth="true" hidden="false" outlineLevel="0" max="3" min="3" style="0" width="64"/>
  </cols>
  <sheetData>
    <row r="1" customFormat="false" ht="17.35" hidden="false" customHeight="false" outlineLevel="0" collapsed="false">
      <c r="A1" s="7" t="s">
        <v>120</v>
      </c>
    </row>
    <row r="2" customFormat="false" ht="15" hidden="false" customHeight="false" outlineLevel="0" collapsed="false">
      <c r="A2" s="8" t="str">
        <f aca="false">"Сценарий листа «Модель»: "&amp;CHOOSE(Допущения!$B$22,"пессимистичный","базовый","оптимистичный")&amp;" (меняется на листе «Допущения»)"</f>
        <v>Сценарий листа «Модель»: базовый (меняется на листе «Допущения»)</v>
      </c>
    </row>
    <row r="4" customFormat="false" ht="15" hidden="false" customHeight="false" outlineLevel="0" collapsed="false">
      <c r="A4" s="11" t="s">
        <v>121</v>
      </c>
      <c r="B4" s="21" t="n">
        <f aca="false">Допущения!$B$12</f>
        <v>3000000</v>
      </c>
    </row>
    <row r="5" customFormat="false" ht="22.35" hidden="false" customHeight="false" outlineLevel="0" collapsed="false">
      <c r="A5" s="11" t="s">
        <v>122</v>
      </c>
      <c r="B5" s="21" t="n">
        <f aca="false">IF(Допущения!$B$73=1,(Допущения!$B$70+Допущения!$B$77)/(1-Допущения!$B$60-Допущения!$B$74),(Допущения!$B$70+Допущения!$B$77)/(1-Допущения!$B$60))</f>
        <v>847457.627118644</v>
      </c>
      <c r="C5" s="2" t="s">
        <v>123</v>
      </c>
    </row>
    <row r="6" customFormat="false" ht="22.35" hidden="false" customHeight="false" outlineLevel="0" collapsed="false">
      <c r="A6" s="11" t="s">
        <v>124</v>
      </c>
      <c r="B6" s="22" t="n">
        <f aca="false">IF(COUNT(Модель!U4:U27)&gt;0,MIN(Модель!U4:U27),IF(Модель!R27&gt;0,24+ROUNDUP((Допущения!$B$79-Модель!S27)/Модель!R27,0),"не окупается"))</f>
        <v>20</v>
      </c>
      <c r="C6" s="2" t="s">
        <v>125</v>
      </c>
    </row>
    <row r="7" customFormat="false" ht="15" hidden="false" customHeight="false" outlineLevel="0" collapsed="false">
      <c r="A7" s="11" t="s">
        <v>126</v>
      </c>
      <c r="B7" s="23" t="str">
        <f aca="false">IF(COUNT(Модель!U4:U27)&gt;0,"да","нет — оценка по 24-му месяцу")</f>
        <v>да</v>
      </c>
    </row>
    <row r="8" customFormat="false" ht="22.35" hidden="false" customHeight="false" outlineLevel="0" collapsed="false">
      <c r="A8" s="11" t="s">
        <v>127</v>
      </c>
      <c r="B8" s="21" t="n">
        <f aca="false">MIN(Модель!T4:T27)</f>
        <v>74400</v>
      </c>
      <c r="C8" s="2" t="s">
        <v>128</v>
      </c>
    </row>
    <row r="9" customFormat="false" ht="15" hidden="false" customHeight="false" outlineLevel="0" collapsed="false">
      <c r="A9" s="11" t="s">
        <v>129</v>
      </c>
      <c r="B9" s="22" t="n">
        <f aca="false">INDEX(Модель!A4:A27,MATCH(MIN(Модель!T4:T27),Модель!T4:T27,0))</f>
        <v>3</v>
      </c>
    </row>
    <row r="10" customFormat="false" ht="15" hidden="false" customHeight="false" outlineLevel="0" collapsed="false">
      <c r="A10" s="11" t="s">
        <v>130</v>
      </c>
      <c r="B10" s="21" t="n">
        <f aca="false">MAX(0,-MIN(Модель!S4:S27))</f>
        <v>225600</v>
      </c>
      <c r="C10" s="2" t="s">
        <v>131</v>
      </c>
    </row>
    <row r="11" customFormat="false" ht="15" hidden="false" customHeight="false" outlineLevel="0" collapsed="false">
      <c r="A11" s="11" t="s">
        <v>132</v>
      </c>
      <c r="B11" s="21" t="n">
        <f aca="false">SUM(Модель!F4:F15)</f>
        <v>12600000</v>
      </c>
    </row>
    <row r="12" customFormat="false" ht="15" hidden="false" customHeight="false" outlineLevel="0" collapsed="false">
      <c r="A12" s="11" t="s">
        <v>133</v>
      </c>
      <c r="B12" s="21" t="n">
        <f aca="false">SUM(Модель!N4:N15)</f>
        <v>1434000</v>
      </c>
      <c r="C12" s="2" t="s">
        <v>134</v>
      </c>
    </row>
    <row r="13" customFormat="false" ht="15" hidden="false" customHeight="false" outlineLevel="0" collapsed="false">
      <c r="A13" s="11" t="s">
        <v>135</v>
      </c>
      <c r="B13" s="21" t="n">
        <f aca="false">SUM(Модель!N16:N27)</f>
        <v>2496000</v>
      </c>
    </row>
    <row r="14" customFormat="false" ht="15" hidden="false" customHeight="false" outlineLevel="0" collapsed="false">
      <c r="A14" s="11" t="s">
        <v>136</v>
      </c>
      <c r="B14" s="21" t="n">
        <f aca="false">Модель!T27</f>
        <v>4230000</v>
      </c>
    </row>
    <row r="17" customFormat="false" ht="15" hidden="false" customHeight="false" outlineLevel="0" collapsed="false">
      <c r="A17" s="8" t="s">
        <v>137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21" min="3" style="0" width="13"/>
  </cols>
  <sheetData>
    <row r="1" customFormat="false" ht="17.35" hidden="false" customHeight="false" outlineLevel="0" collapsed="false">
      <c r="A1" s="7" t="s">
        <v>138</v>
      </c>
    </row>
    <row r="2" customFormat="false" ht="15" hidden="false" customHeight="false" outlineLevel="0" collapsed="false">
      <c r="A2" s="8" t="str">
        <f aca="false">"Сценарий: "&amp;CHOOSE(Допущения!$B$22,"пессимистичный","базовый","оптимистичный")&amp;" (выбирается на листе «Допущения»). Остаток денег на счёте = свои деньги + кредит − инвестиции + накопленный поток."</f>
        <v>Сценарий: базовый (выбирается на листе «Допущения»). Остаток денег на счёте = свои деньги + кредит − инвестиции + накопленный поток.</v>
      </c>
    </row>
    <row r="3" customFormat="false" ht="45" hidden="false" customHeight="true" outlineLevel="0" collapsed="false">
      <c r="A3" s="24" t="s">
        <v>139</v>
      </c>
      <c r="B3" s="24" t="s">
        <v>140</v>
      </c>
      <c r="C3" s="24" t="s">
        <v>141</v>
      </c>
      <c r="D3" s="24" t="s">
        <v>142</v>
      </c>
      <c r="E3" s="24" t="s">
        <v>143</v>
      </c>
      <c r="F3" s="24" t="s">
        <v>144</v>
      </c>
      <c r="G3" s="24" t="s">
        <v>145</v>
      </c>
      <c r="H3" s="24" t="s">
        <v>146</v>
      </c>
      <c r="I3" s="24" t="s">
        <v>147</v>
      </c>
      <c r="J3" s="24" t="s">
        <v>148</v>
      </c>
      <c r="K3" s="24" t="s">
        <v>149</v>
      </c>
      <c r="L3" s="24" t="s">
        <v>150</v>
      </c>
      <c r="M3" s="24" t="s">
        <v>151</v>
      </c>
      <c r="N3" s="24" t="s">
        <v>152</v>
      </c>
      <c r="O3" s="24" t="s">
        <v>153</v>
      </c>
      <c r="P3" s="24" t="s">
        <v>154</v>
      </c>
      <c r="Q3" s="24" t="s">
        <v>155</v>
      </c>
      <c r="R3" s="24" t="s">
        <v>156</v>
      </c>
      <c r="S3" s="24" t="s">
        <v>157</v>
      </c>
      <c r="T3" s="24" t="s">
        <v>158</v>
      </c>
      <c r="U3" s="24" t="s">
        <v>159</v>
      </c>
    </row>
    <row r="4" customFormat="false" ht="15" hidden="false" customHeight="false" outlineLevel="0" collapsed="false">
      <c r="A4" s="25" t="n">
        <v>1</v>
      </c>
      <c r="B4" s="25" t="n">
        <f aca="false">MOD(Допущения!$B$26+A4-2,12)+1</f>
        <v>1</v>
      </c>
      <c r="C4" s="26" t="n">
        <f aca="false">IF(A4&lt;=12,INDEX(Допущения!$B$29:$B$40,A4),1)</f>
        <v>0.5</v>
      </c>
      <c r="D4" s="27" t="n">
        <f aca="false">INDEX(Допущения!$B$43:$B$54,B4)</f>
        <v>1</v>
      </c>
      <c r="E4" s="26" t="n">
        <f aca="false">CHOOSE(Допущения!$B$22,Допущения!$B$23,Допущения!$B$24,Допущения!$B$25)</f>
        <v>1</v>
      </c>
      <c r="F4" s="28" t="n">
        <f aca="false">Допущения!$B$21*C4*D4*E4</f>
        <v>600000</v>
      </c>
      <c r="G4" s="28" t="n">
        <f aca="false">F4*Допущения!$B$60</f>
        <v>210000</v>
      </c>
      <c r="H4" s="28" t="n">
        <f aca="false">F4-G4</f>
        <v>390000</v>
      </c>
      <c r="I4" s="29" t="n">
        <f aca="false">Допущения!$B$70</f>
        <v>500000</v>
      </c>
      <c r="J4" s="29" t="n">
        <f aca="false">Допущения!$B$77</f>
        <v>0</v>
      </c>
      <c r="K4" s="28" t="n">
        <f aca="false">IF(A4&lt;=Допущения!$B$18,Допущения!$B$16*Допущения!$B$17/12,0)</f>
        <v>0</v>
      </c>
      <c r="L4" s="28" t="n">
        <f aca="false">H4-I4-J4-K4</f>
        <v>-110000</v>
      </c>
      <c r="M4" s="28" t="n">
        <f aca="false">IF(Допущения!$B$73=1,F4*Допущения!$B$74,MAX(L4*Допущения!$B$75,F4*Допущения!$B$76))</f>
        <v>36000</v>
      </c>
      <c r="N4" s="28" t="n">
        <f aca="false">L4-M4</f>
        <v>-146000</v>
      </c>
      <c r="O4" s="28" t="n">
        <f aca="false">P4-K4</f>
        <v>0</v>
      </c>
      <c r="P4" s="28" t="n">
        <f aca="false">IF(A4&lt;=Допущения!$B$18,IF(Допущения!$B$16&gt;0,PMT(Допущения!$B$17/12,Допущения!$B$18,-Допущения!$B$16),0),0)</f>
        <v>0</v>
      </c>
      <c r="Q4" s="28" t="n">
        <f aca="false">Допущения!$B$16-O4</f>
        <v>0</v>
      </c>
      <c r="R4" s="28" t="n">
        <f aca="false">N4-O4</f>
        <v>-146000</v>
      </c>
      <c r="S4" s="30" t="n">
        <f aca="false">R4</f>
        <v>-146000</v>
      </c>
      <c r="T4" s="30" t="n">
        <f aca="false">Допущения!$B$15+Допущения!$B$16-Допущения!$B$12+S4</f>
        <v>154000</v>
      </c>
      <c r="U4" s="25" t="str">
        <f aca="false">IF(S4&gt;=Допущения!$B$79,A4,"")</f>
        <v/>
      </c>
    </row>
    <row r="5" customFormat="false" ht="15" hidden="false" customHeight="false" outlineLevel="0" collapsed="false">
      <c r="A5" s="25" t="n">
        <v>2</v>
      </c>
      <c r="B5" s="25" t="n">
        <f aca="false">MOD(Допущения!$B$26+A5-2,12)+1</f>
        <v>2</v>
      </c>
      <c r="C5" s="26" t="n">
        <f aca="false">IF(A5&lt;=12,INDEX(Допущения!$B$29:$B$40,A5),1)</f>
        <v>0.6</v>
      </c>
      <c r="D5" s="27" t="n">
        <f aca="false">INDEX(Допущения!$B$43:$B$54,B5)</f>
        <v>1</v>
      </c>
      <c r="E5" s="26" t="n">
        <f aca="false">CHOOSE(Допущения!$B$22,Допущения!$B$23,Допущения!$B$24,Допущения!$B$25)</f>
        <v>1</v>
      </c>
      <c r="F5" s="28" t="n">
        <f aca="false">Допущения!$B$21*C5*D5*E5</f>
        <v>720000</v>
      </c>
      <c r="G5" s="28" t="n">
        <f aca="false">F5*Допущения!$B$60</f>
        <v>252000</v>
      </c>
      <c r="H5" s="28" t="n">
        <f aca="false">F5-G5</f>
        <v>468000</v>
      </c>
      <c r="I5" s="29" t="n">
        <f aca="false">Допущения!$B$70</f>
        <v>500000</v>
      </c>
      <c r="J5" s="29" t="n">
        <f aca="false">Допущения!$B$77</f>
        <v>0</v>
      </c>
      <c r="K5" s="28" t="n">
        <f aca="false">IF(A5&lt;=Допущения!$B$18,Q4*Допущения!$B$17/12,0)</f>
        <v>0</v>
      </c>
      <c r="L5" s="28" t="n">
        <f aca="false">H5-I5-J5-K5</f>
        <v>-32000</v>
      </c>
      <c r="M5" s="28" t="n">
        <f aca="false">IF(Допущения!$B$73=1,F5*Допущения!$B$74,MAX(L5*Допущения!$B$75,F5*Допущения!$B$76))</f>
        <v>43200</v>
      </c>
      <c r="N5" s="28" t="n">
        <f aca="false">L5-M5</f>
        <v>-75200</v>
      </c>
      <c r="O5" s="28" t="n">
        <f aca="false">P5-K5</f>
        <v>0</v>
      </c>
      <c r="P5" s="28" t="n">
        <f aca="false">IF(A5&lt;=Допущения!$B$18,IF(Допущения!$B$16&gt;0,PMT(Допущения!$B$17/12,Допущения!$B$18,-Допущения!$B$16),0),0)</f>
        <v>0</v>
      </c>
      <c r="Q5" s="28" t="n">
        <f aca="false">Q4-O5</f>
        <v>0</v>
      </c>
      <c r="R5" s="28" t="n">
        <f aca="false">N5-O5</f>
        <v>-75200</v>
      </c>
      <c r="S5" s="30" t="n">
        <f aca="false">S4+R5</f>
        <v>-221200</v>
      </c>
      <c r="T5" s="30" t="n">
        <f aca="false">Допущения!$B$15+Допущения!$B$16-Допущения!$B$12+S5</f>
        <v>78800</v>
      </c>
      <c r="U5" s="25" t="str">
        <f aca="false">IF(AND(S5&gt;=Допущения!$B$79,S4&lt;Допущения!$B$79),A5,"")</f>
        <v/>
      </c>
    </row>
    <row r="6" customFormat="false" ht="15" hidden="false" customHeight="false" outlineLevel="0" collapsed="false">
      <c r="A6" s="25" t="n">
        <v>3</v>
      </c>
      <c r="B6" s="25" t="n">
        <f aca="false">MOD(Допущения!$B$26+A6-2,12)+1</f>
        <v>3</v>
      </c>
      <c r="C6" s="26" t="n">
        <f aca="false">IF(A6&lt;=12,INDEX(Допущения!$B$29:$B$40,A6),1)</f>
        <v>0.7</v>
      </c>
      <c r="D6" s="27" t="n">
        <f aca="false">INDEX(Допущения!$B$43:$B$54,B6)</f>
        <v>1</v>
      </c>
      <c r="E6" s="26" t="n">
        <f aca="false">CHOOSE(Допущения!$B$22,Допущения!$B$23,Допущения!$B$24,Допущения!$B$25)</f>
        <v>1</v>
      </c>
      <c r="F6" s="28" t="n">
        <f aca="false">Допущения!$B$21*C6*D6*E6</f>
        <v>840000</v>
      </c>
      <c r="G6" s="28" t="n">
        <f aca="false">F6*Допущения!$B$60</f>
        <v>294000</v>
      </c>
      <c r="H6" s="28" t="n">
        <f aca="false">F6-G6</f>
        <v>546000</v>
      </c>
      <c r="I6" s="29" t="n">
        <f aca="false">Допущения!$B$70</f>
        <v>500000</v>
      </c>
      <c r="J6" s="29" t="n">
        <f aca="false">Допущения!$B$77</f>
        <v>0</v>
      </c>
      <c r="K6" s="28" t="n">
        <f aca="false">IF(A6&lt;=Допущения!$B$18,Q5*Допущения!$B$17/12,0)</f>
        <v>0</v>
      </c>
      <c r="L6" s="28" t="n">
        <f aca="false">H6-I6-J6-K6</f>
        <v>46000</v>
      </c>
      <c r="M6" s="28" t="n">
        <f aca="false">IF(Допущения!$B$73=1,F6*Допущения!$B$74,MAX(L6*Допущения!$B$75,F6*Допущения!$B$76))</f>
        <v>50400</v>
      </c>
      <c r="N6" s="28" t="n">
        <f aca="false">L6-M6</f>
        <v>-4400</v>
      </c>
      <c r="O6" s="28" t="n">
        <f aca="false">P6-K6</f>
        <v>0</v>
      </c>
      <c r="P6" s="28" t="n">
        <f aca="false">IF(A6&lt;=Допущения!$B$18,IF(Допущения!$B$16&gt;0,PMT(Допущения!$B$17/12,Допущения!$B$18,-Допущения!$B$16),0),0)</f>
        <v>0</v>
      </c>
      <c r="Q6" s="28" t="n">
        <f aca="false">Q5-O6</f>
        <v>0</v>
      </c>
      <c r="R6" s="28" t="n">
        <f aca="false">N6-O6</f>
        <v>-4400</v>
      </c>
      <c r="S6" s="30" t="n">
        <f aca="false">S5+R6</f>
        <v>-225600</v>
      </c>
      <c r="T6" s="30" t="n">
        <f aca="false">Допущения!$B$15+Допущения!$B$16-Допущения!$B$12+S6</f>
        <v>74400</v>
      </c>
      <c r="U6" s="25" t="str">
        <f aca="false">IF(AND(S6&gt;=Допущения!$B$79,S5&lt;Допущения!$B$79),A6,"")</f>
        <v/>
      </c>
    </row>
    <row r="7" customFormat="false" ht="15" hidden="false" customHeight="false" outlineLevel="0" collapsed="false">
      <c r="A7" s="25" t="n">
        <v>4</v>
      </c>
      <c r="B7" s="25" t="n">
        <f aca="false">MOD(Допущения!$B$26+A7-2,12)+1</f>
        <v>4</v>
      </c>
      <c r="C7" s="26" t="n">
        <f aca="false">IF(A7&lt;=12,INDEX(Допущения!$B$29:$B$40,A7),1)</f>
        <v>0.8</v>
      </c>
      <c r="D7" s="27" t="n">
        <f aca="false">INDEX(Допущения!$B$43:$B$54,B7)</f>
        <v>1</v>
      </c>
      <c r="E7" s="26" t="n">
        <f aca="false">CHOOSE(Допущения!$B$22,Допущения!$B$23,Допущения!$B$24,Допущения!$B$25)</f>
        <v>1</v>
      </c>
      <c r="F7" s="28" t="n">
        <f aca="false">Допущения!$B$21*C7*D7*E7</f>
        <v>960000</v>
      </c>
      <c r="G7" s="28" t="n">
        <f aca="false">F7*Допущения!$B$60</f>
        <v>336000</v>
      </c>
      <c r="H7" s="28" t="n">
        <f aca="false">F7-G7</f>
        <v>624000</v>
      </c>
      <c r="I7" s="29" t="n">
        <f aca="false">Допущения!$B$70</f>
        <v>500000</v>
      </c>
      <c r="J7" s="29" t="n">
        <f aca="false">Допущения!$B$77</f>
        <v>0</v>
      </c>
      <c r="K7" s="28" t="n">
        <f aca="false">IF(A7&lt;=Допущения!$B$18,Q6*Допущения!$B$17/12,0)</f>
        <v>0</v>
      </c>
      <c r="L7" s="28" t="n">
        <f aca="false">H7-I7-J7-K7</f>
        <v>124000</v>
      </c>
      <c r="M7" s="28" t="n">
        <f aca="false">IF(Допущения!$B$73=1,F7*Допущения!$B$74,MAX(L7*Допущения!$B$75,F7*Допущения!$B$76))</f>
        <v>57600</v>
      </c>
      <c r="N7" s="28" t="n">
        <f aca="false">L7-M7</f>
        <v>66400</v>
      </c>
      <c r="O7" s="28" t="n">
        <f aca="false">P7-K7</f>
        <v>0</v>
      </c>
      <c r="P7" s="28" t="n">
        <f aca="false">IF(A7&lt;=Допущения!$B$18,IF(Допущения!$B$16&gt;0,PMT(Допущения!$B$17/12,Допущения!$B$18,-Допущения!$B$16),0),0)</f>
        <v>0</v>
      </c>
      <c r="Q7" s="28" t="n">
        <f aca="false">Q6-O7</f>
        <v>0</v>
      </c>
      <c r="R7" s="28" t="n">
        <f aca="false">N7-O7</f>
        <v>66400</v>
      </c>
      <c r="S7" s="30" t="n">
        <f aca="false">S6+R7</f>
        <v>-159200</v>
      </c>
      <c r="T7" s="30" t="n">
        <f aca="false">Допущения!$B$15+Допущения!$B$16-Допущения!$B$12+S7</f>
        <v>140800</v>
      </c>
      <c r="U7" s="25" t="str">
        <f aca="false">IF(AND(S7&gt;=Допущения!$B$79,S6&lt;Допущения!$B$79),A7,"")</f>
        <v/>
      </c>
    </row>
    <row r="8" customFormat="false" ht="15" hidden="false" customHeight="false" outlineLevel="0" collapsed="false">
      <c r="A8" s="25" t="n">
        <v>5</v>
      </c>
      <c r="B8" s="25" t="n">
        <f aca="false">MOD(Допущения!$B$26+A8-2,12)+1</f>
        <v>5</v>
      </c>
      <c r="C8" s="26" t="n">
        <f aca="false">IF(A8&lt;=12,INDEX(Допущения!$B$29:$B$40,A8),1)</f>
        <v>0.9</v>
      </c>
      <c r="D8" s="27" t="n">
        <f aca="false">INDEX(Допущения!$B$43:$B$54,B8)</f>
        <v>1</v>
      </c>
      <c r="E8" s="26" t="n">
        <f aca="false">CHOOSE(Допущения!$B$22,Допущения!$B$23,Допущения!$B$24,Допущения!$B$25)</f>
        <v>1</v>
      </c>
      <c r="F8" s="28" t="n">
        <f aca="false">Допущения!$B$21*C8*D8*E8</f>
        <v>1080000</v>
      </c>
      <c r="G8" s="28" t="n">
        <f aca="false">F8*Допущения!$B$60</f>
        <v>378000</v>
      </c>
      <c r="H8" s="28" t="n">
        <f aca="false">F8-G8</f>
        <v>702000</v>
      </c>
      <c r="I8" s="29" t="n">
        <f aca="false">Допущения!$B$70</f>
        <v>500000</v>
      </c>
      <c r="J8" s="29" t="n">
        <f aca="false">Допущения!$B$77</f>
        <v>0</v>
      </c>
      <c r="K8" s="28" t="n">
        <f aca="false">IF(A8&lt;=Допущения!$B$18,Q7*Допущения!$B$17/12,0)</f>
        <v>0</v>
      </c>
      <c r="L8" s="28" t="n">
        <f aca="false">H8-I8-J8-K8</f>
        <v>202000</v>
      </c>
      <c r="M8" s="28" t="n">
        <f aca="false">IF(Допущения!$B$73=1,F8*Допущения!$B$74,MAX(L8*Допущения!$B$75,F8*Допущения!$B$76))</f>
        <v>64800</v>
      </c>
      <c r="N8" s="28" t="n">
        <f aca="false">L8-M8</f>
        <v>137200</v>
      </c>
      <c r="O8" s="28" t="n">
        <f aca="false">P8-K8</f>
        <v>0</v>
      </c>
      <c r="P8" s="28" t="n">
        <f aca="false">IF(A8&lt;=Допущения!$B$18,IF(Допущения!$B$16&gt;0,PMT(Допущения!$B$17/12,Допущения!$B$18,-Допущения!$B$16),0),0)</f>
        <v>0</v>
      </c>
      <c r="Q8" s="28" t="n">
        <f aca="false">Q7-O8</f>
        <v>0</v>
      </c>
      <c r="R8" s="28" t="n">
        <f aca="false">N8-O8</f>
        <v>137200</v>
      </c>
      <c r="S8" s="30" t="n">
        <f aca="false">S7+R8</f>
        <v>-22000</v>
      </c>
      <c r="T8" s="30" t="n">
        <f aca="false">Допущения!$B$15+Допущения!$B$16-Допущения!$B$12+S8</f>
        <v>278000</v>
      </c>
      <c r="U8" s="25" t="str">
        <f aca="false">IF(AND(S8&gt;=Допущения!$B$79,S7&lt;Допущения!$B$79),A8,"")</f>
        <v/>
      </c>
    </row>
    <row r="9" customFormat="false" ht="15" hidden="false" customHeight="false" outlineLevel="0" collapsed="false">
      <c r="A9" s="25" t="n">
        <v>6</v>
      </c>
      <c r="B9" s="25" t="n">
        <f aca="false">MOD(Допущения!$B$26+A9-2,12)+1</f>
        <v>6</v>
      </c>
      <c r="C9" s="26" t="n">
        <f aca="false">IF(A9&lt;=12,INDEX(Допущения!$B$29:$B$40,A9),1)</f>
        <v>1</v>
      </c>
      <c r="D9" s="27" t="n">
        <f aca="false">INDEX(Допущения!$B$43:$B$54,B9)</f>
        <v>1</v>
      </c>
      <c r="E9" s="26" t="n">
        <f aca="false">CHOOSE(Допущения!$B$22,Допущения!$B$23,Допущения!$B$24,Допущения!$B$25)</f>
        <v>1</v>
      </c>
      <c r="F9" s="28" t="n">
        <f aca="false">Допущения!$B$21*C9*D9*E9</f>
        <v>1200000</v>
      </c>
      <c r="G9" s="28" t="n">
        <f aca="false">F9*Допущения!$B$60</f>
        <v>420000</v>
      </c>
      <c r="H9" s="28" t="n">
        <f aca="false">F9-G9</f>
        <v>780000</v>
      </c>
      <c r="I9" s="29" t="n">
        <f aca="false">Допущения!$B$70</f>
        <v>500000</v>
      </c>
      <c r="J9" s="29" t="n">
        <f aca="false">Допущения!$B$77</f>
        <v>0</v>
      </c>
      <c r="K9" s="28" t="n">
        <f aca="false">IF(A9&lt;=Допущения!$B$18,Q8*Допущения!$B$17/12,0)</f>
        <v>0</v>
      </c>
      <c r="L9" s="28" t="n">
        <f aca="false">H9-I9-J9-K9</f>
        <v>280000</v>
      </c>
      <c r="M9" s="28" t="n">
        <f aca="false">IF(Допущения!$B$73=1,F9*Допущения!$B$74,MAX(L9*Допущения!$B$75,F9*Допущения!$B$76))</f>
        <v>72000</v>
      </c>
      <c r="N9" s="28" t="n">
        <f aca="false">L9-M9</f>
        <v>208000</v>
      </c>
      <c r="O9" s="28" t="n">
        <f aca="false">P9-K9</f>
        <v>0</v>
      </c>
      <c r="P9" s="28" t="n">
        <f aca="false">IF(A9&lt;=Допущения!$B$18,IF(Допущения!$B$16&gt;0,PMT(Допущения!$B$17/12,Допущения!$B$18,-Допущения!$B$16),0),0)</f>
        <v>0</v>
      </c>
      <c r="Q9" s="28" t="n">
        <f aca="false">Q8-O9</f>
        <v>0</v>
      </c>
      <c r="R9" s="28" t="n">
        <f aca="false">N9-O9</f>
        <v>208000</v>
      </c>
      <c r="S9" s="30" t="n">
        <f aca="false">S8+R9</f>
        <v>186000</v>
      </c>
      <c r="T9" s="30" t="n">
        <f aca="false">Допущения!$B$15+Допущения!$B$16-Допущения!$B$12+S9</f>
        <v>486000</v>
      </c>
      <c r="U9" s="25" t="str">
        <f aca="false">IF(AND(S9&gt;=Допущения!$B$79,S8&lt;Допущения!$B$79),A9,"")</f>
        <v/>
      </c>
    </row>
    <row r="10" customFormat="false" ht="15" hidden="false" customHeight="false" outlineLevel="0" collapsed="false">
      <c r="A10" s="25" t="n">
        <v>7</v>
      </c>
      <c r="B10" s="25" t="n">
        <f aca="false">MOD(Допущения!$B$26+A10-2,12)+1</f>
        <v>7</v>
      </c>
      <c r="C10" s="26" t="n">
        <f aca="false">IF(A10&lt;=12,INDEX(Допущения!$B$29:$B$40,A10),1)</f>
        <v>1</v>
      </c>
      <c r="D10" s="27" t="n">
        <f aca="false">INDEX(Допущения!$B$43:$B$54,B10)</f>
        <v>1</v>
      </c>
      <c r="E10" s="26" t="n">
        <f aca="false">CHOOSE(Допущения!$B$22,Допущения!$B$23,Допущения!$B$24,Допущения!$B$25)</f>
        <v>1</v>
      </c>
      <c r="F10" s="28" t="n">
        <f aca="false">Допущения!$B$21*C10*D10*E10</f>
        <v>1200000</v>
      </c>
      <c r="G10" s="28" t="n">
        <f aca="false">F10*Допущения!$B$60</f>
        <v>420000</v>
      </c>
      <c r="H10" s="28" t="n">
        <f aca="false">F10-G10</f>
        <v>780000</v>
      </c>
      <c r="I10" s="29" t="n">
        <f aca="false">Допущения!$B$70</f>
        <v>500000</v>
      </c>
      <c r="J10" s="29" t="n">
        <f aca="false">Допущения!$B$77</f>
        <v>0</v>
      </c>
      <c r="K10" s="28" t="n">
        <f aca="false">IF(A10&lt;=Допущения!$B$18,Q9*Допущения!$B$17/12,0)</f>
        <v>0</v>
      </c>
      <c r="L10" s="28" t="n">
        <f aca="false">H10-I10-J10-K10</f>
        <v>280000</v>
      </c>
      <c r="M10" s="28" t="n">
        <f aca="false">IF(Допущения!$B$73=1,F10*Допущения!$B$74,MAX(L10*Допущения!$B$75,F10*Допущения!$B$76))</f>
        <v>72000</v>
      </c>
      <c r="N10" s="28" t="n">
        <f aca="false">L10-M10</f>
        <v>208000</v>
      </c>
      <c r="O10" s="28" t="n">
        <f aca="false">P10-K10</f>
        <v>0</v>
      </c>
      <c r="P10" s="28" t="n">
        <f aca="false">IF(A10&lt;=Допущения!$B$18,IF(Допущения!$B$16&gt;0,PMT(Допущения!$B$17/12,Допущения!$B$18,-Допущения!$B$16),0),0)</f>
        <v>0</v>
      </c>
      <c r="Q10" s="28" t="n">
        <f aca="false">Q9-O10</f>
        <v>0</v>
      </c>
      <c r="R10" s="28" t="n">
        <f aca="false">N10-O10</f>
        <v>208000</v>
      </c>
      <c r="S10" s="30" t="n">
        <f aca="false">S9+R10</f>
        <v>394000</v>
      </c>
      <c r="T10" s="30" t="n">
        <f aca="false">Допущения!$B$15+Допущения!$B$16-Допущения!$B$12+S10</f>
        <v>694000</v>
      </c>
      <c r="U10" s="25" t="str">
        <f aca="false">IF(AND(S10&gt;=Допущения!$B$79,S9&lt;Допущения!$B$79),A10,"")</f>
        <v/>
      </c>
    </row>
    <row r="11" customFormat="false" ht="15" hidden="false" customHeight="false" outlineLevel="0" collapsed="false">
      <c r="A11" s="25" t="n">
        <v>8</v>
      </c>
      <c r="B11" s="25" t="n">
        <f aca="false">MOD(Допущения!$B$26+A11-2,12)+1</f>
        <v>8</v>
      </c>
      <c r="C11" s="26" t="n">
        <f aca="false">IF(A11&lt;=12,INDEX(Допущения!$B$29:$B$40,A11),1)</f>
        <v>1</v>
      </c>
      <c r="D11" s="27" t="n">
        <f aca="false">INDEX(Допущения!$B$43:$B$54,B11)</f>
        <v>1</v>
      </c>
      <c r="E11" s="26" t="n">
        <f aca="false">CHOOSE(Допущения!$B$22,Допущения!$B$23,Допущения!$B$24,Допущения!$B$25)</f>
        <v>1</v>
      </c>
      <c r="F11" s="28" t="n">
        <f aca="false">Допущения!$B$21*C11*D11*E11</f>
        <v>1200000</v>
      </c>
      <c r="G11" s="28" t="n">
        <f aca="false">F11*Допущения!$B$60</f>
        <v>420000</v>
      </c>
      <c r="H11" s="28" t="n">
        <f aca="false">F11-G11</f>
        <v>780000</v>
      </c>
      <c r="I11" s="29" t="n">
        <f aca="false">Допущения!$B$70</f>
        <v>500000</v>
      </c>
      <c r="J11" s="29" t="n">
        <f aca="false">Допущения!$B$77</f>
        <v>0</v>
      </c>
      <c r="K11" s="28" t="n">
        <f aca="false">IF(A11&lt;=Допущения!$B$18,Q10*Допущения!$B$17/12,0)</f>
        <v>0</v>
      </c>
      <c r="L11" s="28" t="n">
        <f aca="false">H11-I11-J11-K11</f>
        <v>280000</v>
      </c>
      <c r="M11" s="28" t="n">
        <f aca="false">IF(Допущения!$B$73=1,F11*Допущения!$B$74,MAX(L11*Допущения!$B$75,F11*Допущения!$B$76))</f>
        <v>72000</v>
      </c>
      <c r="N11" s="28" t="n">
        <f aca="false">L11-M11</f>
        <v>208000</v>
      </c>
      <c r="O11" s="28" t="n">
        <f aca="false">P11-K11</f>
        <v>0</v>
      </c>
      <c r="P11" s="28" t="n">
        <f aca="false">IF(A11&lt;=Допущения!$B$18,IF(Допущения!$B$16&gt;0,PMT(Допущения!$B$17/12,Допущения!$B$18,-Допущения!$B$16),0),0)</f>
        <v>0</v>
      </c>
      <c r="Q11" s="28" t="n">
        <f aca="false">Q10-O11</f>
        <v>0</v>
      </c>
      <c r="R11" s="28" t="n">
        <f aca="false">N11-O11</f>
        <v>208000</v>
      </c>
      <c r="S11" s="30" t="n">
        <f aca="false">S10+R11</f>
        <v>602000</v>
      </c>
      <c r="T11" s="30" t="n">
        <f aca="false">Допущения!$B$15+Допущения!$B$16-Допущения!$B$12+S11</f>
        <v>902000</v>
      </c>
      <c r="U11" s="25" t="str">
        <f aca="false">IF(AND(S11&gt;=Допущения!$B$79,S10&lt;Допущения!$B$79),A11,"")</f>
        <v/>
      </c>
    </row>
    <row r="12" customFormat="false" ht="15" hidden="false" customHeight="false" outlineLevel="0" collapsed="false">
      <c r="A12" s="25" t="n">
        <v>9</v>
      </c>
      <c r="B12" s="25" t="n">
        <f aca="false">MOD(Допущения!$B$26+A12-2,12)+1</f>
        <v>9</v>
      </c>
      <c r="C12" s="26" t="n">
        <f aca="false">IF(A12&lt;=12,INDEX(Допущения!$B$29:$B$40,A12),1)</f>
        <v>1</v>
      </c>
      <c r="D12" s="27" t="n">
        <f aca="false">INDEX(Допущения!$B$43:$B$54,B12)</f>
        <v>1</v>
      </c>
      <c r="E12" s="26" t="n">
        <f aca="false">CHOOSE(Допущения!$B$22,Допущения!$B$23,Допущения!$B$24,Допущения!$B$25)</f>
        <v>1</v>
      </c>
      <c r="F12" s="28" t="n">
        <f aca="false">Допущения!$B$21*C12*D12*E12</f>
        <v>1200000</v>
      </c>
      <c r="G12" s="28" t="n">
        <f aca="false">F12*Допущения!$B$60</f>
        <v>420000</v>
      </c>
      <c r="H12" s="28" t="n">
        <f aca="false">F12-G12</f>
        <v>780000</v>
      </c>
      <c r="I12" s="29" t="n">
        <f aca="false">Допущения!$B$70</f>
        <v>500000</v>
      </c>
      <c r="J12" s="29" t="n">
        <f aca="false">Допущения!$B$77</f>
        <v>0</v>
      </c>
      <c r="K12" s="28" t="n">
        <f aca="false">IF(A12&lt;=Допущения!$B$18,Q11*Допущения!$B$17/12,0)</f>
        <v>0</v>
      </c>
      <c r="L12" s="28" t="n">
        <f aca="false">H12-I12-J12-K12</f>
        <v>280000</v>
      </c>
      <c r="M12" s="28" t="n">
        <f aca="false">IF(Допущения!$B$73=1,F12*Допущения!$B$74,MAX(L12*Допущения!$B$75,F12*Допущения!$B$76))</f>
        <v>72000</v>
      </c>
      <c r="N12" s="28" t="n">
        <f aca="false">L12-M12</f>
        <v>208000</v>
      </c>
      <c r="O12" s="28" t="n">
        <f aca="false">P12-K12</f>
        <v>0</v>
      </c>
      <c r="P12" s="28" t="n">
        <f aca="false">IF(A12&lt;=Допущения!$B$18,IF(Допущения!$B$16&gt;0,PMT(Допущения!$B$17/12,Допущения!$B$18,-Допущения!$B$16),0),0)</f>
        <v>0</v>
      </c>
      <c r="Q12" s="28" t="n">
        <f aca="false">Q11-O12</f>
        <v>0</v>
      </c>
      <c r="R12" s="28" t="n">
        <f aca="false">N12-O12</f>
        <v>208000</v>
      </c>
      <c r="S12" s="30" t="n">
        <f aca="false">S11+R12</f>
        <v>810000</v>
      </c>
      <c r="T12" s="30" t="n">
        <f aca="false">Допущения!$B$15+Допущения!$B$16-Допущения!$B$12+S12</f>
        <v>1110000</v>
      </c>
      <c r="U12" s="25" t="str">
        <f aca="false">IF(AND(S12&gt;=Допущения!$B$79,S11&lt;Допущения!$B$79),A12,"")</f>
        <v/>
      </c>
    </row>
    <row r="13" customFormat="false" ht="15" hidden="false" customHeight="false" outlineLevel="0" collapsed="false">
      <c r="A13" s="25" t="n">
        <v>10</v>
      </c>
      <c r="B13" s="25" t="n">
        <f aca="false">MOD(Допущения!$B$26+A13-2,12)+1</f>
        <v>10</v>
      </c>
      <c r="C13" s="26" t="n">
        <f aca="false">IF(A13&lt;=12,INDEX(Допущения!$B$29:$B$40,A13),1)</f>
        <v>1</v>
      </c>
      <c r="D13" s="27" t="n">
        <f aca="false">INDEX(Допущения!$B$43:$B$54,B13)</f>
        <v>1</v>
      </c>
      <c r="E13" s="26" t="n">
        <f aca="false">CHOOSE(Допущения!$B$22,Допущения!$B$23,Допущения!$B$24,Допущения!$B$25)</f>
        <v>1</v>
      </c>
      <c r="F13" s="28" t="n">
        <f aca="false">Допущения!$B$21*C13*D13*E13</f>
        <v>1200000</v>
      </c>
      <c r="G13" s="28" t="n">
        <f aca="false">F13*Допущения!$B$60</f>
        <v>420000</v>
      </c>
      <c r="H13" s="28" t="n">
        <f aca="false">F13-G13</f>
        <v>780000</v>
      </c>
      <c r="I13" s="29" t="n">
        <f aca="false">Допущения!$B$70</f>
        <v>500000</v>
      </c>
      <c r="J13" s="29" t="n">
        <f aca="false">Допущения!$B$77</f>
        <v>0</v>
      </c>
      <c r="K13" s="28" t="n">
        <f aca="false">IF(A13&lt;=Допущения!$B$18,Q12*Допущения!$B$17/12,0)</f>
        <v>0</v>
      </c>
      <c r="L13" s="28" t="n">
        <f aca="false">H13-I13-J13-K13</f>
        <v>280000</v>
      </c>
      <c r="M13" s="28" t="n">
        <f aca="false">IF(Допущения!$B$73=1,F13*Допущения!$B$74,MAX(L13*Допущения!$B$75,F13*Допущения!$B$76))</f>
        <v>72000</v>
      </c>
      <c r="N13" s="28" t="n">
        <f aca="false">L13-M13</f>
        <v>208000</v>
      </c>
      <c r="O13" s="28" t="n">
        <f aca="false">P13-K13</f>
        <v>0</v>
      </c>
      <c r="P13" s="28" t="n">
        <f aca="false">IF(A13&lt;=Допущения!$B$18,IF(Допущения!$B$16&gt;0,PMT(Допущения!$B$17/12,Допущения!$B$18,-Допущения!$B$16),0),0)</f>
        <v>0</v>
      </c>
      <c r="Q13" s="28" t="n">
        <f aca="false">Q12-O13</f>
        <v>0</v>
      </c>
      <c r="R13" s="28" t="n">
        <f aca="false">N13-O13</f>
        <v>208000</v>
      </c>
      <c r="S13" s="30" t="n">
        <f aca="false">S12+R13</f>
        <v>1018000</v>
      </c>
      <c r="T13" s="30" t="n">
        <f aca="false">Допущения!$B$15+Допущения!$B$16-Допущения!$B$12+S13</f>
        <v>1318000</v>
      </c>
      <c r="U13" s="25" t="str">
        <f aca="false">IF(AND(S13&gt;=Допущения!$B$79,S12&lt;Допущения!$B$79),A13,"")</f>
        <v/>
      </c>
    </row>
    <row r="14" customFormat="false" ht="15" hidden="false" customHeight="false" outlineLevel="0" collapsed="false">
      <c r="A14" s="25" t="n">
        <v>11</v>
      </c>
      <c r="B14" s="25" t="n">
        <f aca="false">MOD(Допущения!$B$26+A14-2,12)+1</f>
        <v>11</v>
      </c>
      <c r="C14" s="26" t="n">
        <f aca="false">IF(A14&lt;=12,INDEX(Допущения!$B$29:$B$40,A14),1)</f>
        <v>1</v>
      </c>
      <c r="D14" s="27" t="n">
        <f aca="false">INDEX(Допущения!$B$43:$B$54,B14)</f>
        <v>1</v>
      </c>
      <c r="E14" s="26" t="n">
        <f aca="false">CHOOSE(Допущения!$B$22,Допущения!$B$23,Допущения!$B$24,Допущения!$B$25)</f>
        <v>1</v>
      </c>
      <c r="F14" s="28" t="n">
        <f aca="false">Допущения!$B$21*C14*D14*E14</f>
        <v>1200000</v>
      </c>
      <c r="G14" s="28" t="n">
        <f aca="false">F14*Допущения!$B$60</f>
        <v>420000</v>
      </c>
      <c r="H14" s="28" t="n">
        <f aca="false">F14-G14</f>
        <v>780000</v>
      </c>
      <c r="I14" s="29" t="n">
        <f aca="false">Допущения!$B$70</f>
        <v>500000</v>
      </c>
      <c r="J14" s="29" t="n">
        <f aca="false">Допущения!$B$77</f>
        <v>0</v>
      </c>
      <c r="K14" s="28" t="n">
        <f aca="false">IF(A14&lt;=Допущения!$B$18,Q13*Допущения!$B$17/12,0)</f>
        <v>0</v>
      </c>
      <c r="L14" s="28" t="n">
        <f aca="false">H14-I14-J14-K14</f>
        <v>280000</v>
      </c>
      <c r="M14" s="28" t="n">
        <f aca="false">IF(Допущения!$B$73=1,F14*Допущения!$B$74,MAX(L14*Допущения!$B$75,F14*Допущения!$B$76))</f>
        <v>72000</v>
      </c>
      <c r="N14" s="28" t="n">
        <f aca="false">L14-M14</f>
        <v>208000</v>
      </c>
      <c r="O14" s="28" t="n">
        <f aca="false">P14-K14</f>
        <v>0</v>
      </c>
      <c r="P14" s="28" t="n">
        <f aca="false">IF(A14&lt;=Допущения!$B$18,IF(Допущения!$B$16&gt;0,PMT(Допущения!$B$17/12,Допущения!$B$18,-Допущения!$B$16),0),0)</f>
        <v>0</v>
      </c>
      <c r="Q14" s="28" t="n">
        <f aca="false">Q13-O14</f>
        <v>0</v>
      </c>
      <c r="R14" s="28" t="n">
        <f aca="false">N14-O14</f>
        <v>208000</v>
      </c>
      <c r="S14" s="30" t="n">
        <f aca="false">S13+R14</f>
        <v>1226000</v>
      </c>
      <c r="T14" s="30" t="n">
        <f aca="false">Допущения!$B$15+Допущения!$B$16-Допущения!$B$12+S14</f>
        <v>1526000</v>
      </c>
      <c r="U14" s="25" t="str">
        <f aca="false">IF(AND(S14&gt;=Допущения!$B$79,S13&lt;Допущения!$B$79),A14,"")</f>
        <v/>
      </c>
    </row>
    <row r="15" customFormat="false" ht="15" hidden="false" customHeight="false" outlineLevel="0" collapsed="false">
      <c r="A15" s="25" t="n">
        <v>12</v>
      </c>
      <c r="B15" s="25" t="n">
        <f aca="false">MOD(Допущения!$B$26+A15-2,12)+1</f>
        <v>12</v>
      </c>
      <c r="C15" s="26" t="n">
        <f aca="false">IF(A15&lt;=12,INDEX(Допущения!$B$29:$B$40,A15),1)</f>
        <v>1</v>
      </c>
      <c r="D15" s="27" t="n">
        <f aca="false">INDEX(Допущения!$B$43:$B$54,B15)</f>
        <v>1</v>
      </c>
      <c r="E15" s="26" t="n">
        <f aca="false">CHOOSE(Допущения!$B$22,Допущения!$B$23,Допущения!$B$24,Допущения!$B$25)</f>
        <v>1</v>
      </c>
      <c r="F15" s="28" t="n">
        <f aca="false">Допущения!$B$21*C15*D15*E15</f>
        <v>1200000</v>
      </c>
      <c r="G15" s="28" t="n">
        <f aca="false">F15*Допущения!$B$60</f>
        <v>420000</v>
      </c>
      <c r="H15" s="28" t="n">
        <f aca="false">F15-G15</f>
        <v>780000</v>
      </c>
      <c r="I15" s="29" t="n">
        <f aca="false">Допущения!$B$70</f>
        <v>500000</v>
      </c>
      <c r="J15" s="29" t="n">
        <f aca="false">Допущения!$B$77</f>
        <v>0</v>
      </c>
      <c r="K15" s="28" t="n">
        <f aca="false">IF(A15&lt;=Допущения!$B$18,Q14*Допущения!$B$17/12,0)</f>
        <v>0</v>
      </c>
      <c r="L15" s="28" t="n">
        <f aca="false">H15-I15-J15-K15</f>
        <v>280000</v>
      </c>
      <c r="M15" s="28" t="n">
        <f aca="false">IF(Допущения!$B$73=1,F15*Допущения!$B$74,MAX(L15*Допущения!$B$75,F15*Допущения!$B$76))</f>
        <v>72000</v>
      </c>
      <c r="N15" s="28" t="n">
        <f aca="false">L15-M15</f>
        <v>208000</v>
      </c>
      <c r="O15" s="28" t="n">
        <f aca="false">P15-K15</f>
        <v>0</v>
      </c>
      <c r="P15" s="28" t="n">
        <f aca="false">IF(A15&lt;=Допущения!$B$18,IF(Допущения!$B$16&gt;0,PMT(Допущения!$B$17/12,Допущения!$B$18,-Допущения!$B$16),0),0)</f>
        <v>0</v>
      </c>
      <c r="Q15" s="28" t="n">
        <f aca="false">Q14-O15</f>
        <v>0</v>
      </c>
      <c r="R15" s="28" t="n">
        <f aca="false">N15-O15</f>
        <v>208000</v>
      </c>
      <c r="S15" s="30" t="n">
        <f aca="false">S14+R15</f>
        <v>1434000</v>
      </c>
      <c r="T15" s="30" t="n">
        <f aca="false">Допущения!$B$15+Допущения!$B$16-Допущения!$B$12+S15</f>
        <v>1734000</v>
      </c>
      <c r="U15" s="25" t="str">
        <f aca="false">IF(AND(S15&gt;=Допущения!$B$79,S14&lt;Допущения!$B$79),A15,"")</f>
        <v/>
      </c>
    </row>
    <row r="16" customFormat="false" ht="15" hidden="false" customHeight="false" outlineLevel="0" collapsed="false">
      <c r="A16" s="25" t="n">
        <v>13</v>
      </c>
      <c r="B16" s="25" t="n">
        <f aca="false">MOD(Допущения!$B$26+A16-2,12)+1</f>
        <v>1</v>
      </c>
      <c r="C16" s="26" t="n">
        <f aca="false">IF(A16&lt;=12,INDEX(Допущения!$B$29:$B$40,A16),1)</f>
        <v>1</v>
      </c>
      <c r="D16" s="27" t="n">
        <f aca="false">INDEX(Допущения!$B$43:$B$54,B16)</f>
        <v>1</v>
      </c>
      <c r="E16" s="26" t="n">
        <f aca="false">CHOOSE(Допущения!$B$22,Допущения!$B$23,Допущения!$B$24,Допущения!$B$25)</f>
        <v>1</v>
      </c>
      <c r="F16" s="28" t="n">
        <f aca="false">Допущения!$B$21*C16*D16*E16</f>
        <v>1200000</v>
      </c>
      <c r="G16" s="28" t="n">
        <f aca="false">F16*Допущения!$B$60</f>
        <v>420000</v>
      </c>
      <c r="H16" s="28" t="n">
        <f aca="false">F16-G16</f>
        <v>780000</v>
      </c>
      <c r="I16" s="29" t="n">
        <f aca="false">Допущения!$B$70</f>
        <v>500000</v>
      </c>
      <c r="J16" s="29" t="n">
        <f aca="false">Допущения!$B$77</f>
        <v>0</v>
      </c>
      <c r="K16" s="28" t="n">
        <f aca="false">IF(A16&lt;=Допущения!$B$18,Q15*Допущения!$B$17/12,0)</f>
        <v>0</v>
      </c>
      <c r="L16" s="28" t="n">
        <f aca="false">H16-I16-J16-K16</f>
        <v>280000</v>
      </c>
      <c r="M16" s="28" t="n">
        <f aca="false">IF(Допущения!$B$73=1,F16*Допущения!$B$74,MAX(L16*Допущения!$B$75,F16*Допущения!$B$76))</f>
        <v>72000</v>
      </c>
      <c r="N16" s="28" t="n">
        <f aca="false">L16-M16</f>
        <v>208000</v>
      </c>
      <c r="O16" s="28" t="n">
        <f aca="false">P16-K16</f>
        <v>0</v>
      </c>
      <c r="P16" s="28" t="n">
        <f aca="false">IF(A16&lt;=Допущения!$B$18,IF(Допущения!$B$16&gt;0,PMT(Допущения!$B$17/12,Допущения!$B$18,-Допущения!$B$16),0),0)</f>
        <v>0</v>
      </c>
      <c r="Q16" s="28" t="n">
        <f aca="false">Q15-O16</f>
        <v>0</v>
      </c>
      <c r="R16" s="28" t="n">
        <f aca="false">N16-O16</f>
        <v>208000</v>
      </c>
      <c r="S16" s="30" t="n">
        <f aca="false">S15+R16</f>
        <v>1642000</v>
      </c>
      <c r="T16" s="30" t="n">
        <f aca="false">Допущения!$B$15+Допущения!$B$16-Допущения!$B$12+S16</f>
        <v>1942000</v>
      </c>
      <c r="U16" s="25" t="str">
        <f aca="false">IF(AND(S16&gt;=Допущения!$B$79,S15&lt;Допущения!$B$79),A16,"")</f>
        <v/>
      </c>
    </row>
    <row r="17" customFormat="false" ht="15" hidden="false" customHeight="false" outlineLevel="0" collapsed="false">
      <c r="A17" s="25" t="n">
        <v>14</v>
      </c>
      <c r="B17" s="25" t="n">
        <f aca="false">MOD(Допущения!$B$26+A17-2,12)+1</f>
        <v>2</v>
      </c>
      <c r="C17" s="26" t="n">
        <f aca="false">IF(A17&lt;=12,INDEX(Допущения!$B$29:$B$40,A17),1)</f>
        <v>1</v>
      </c>
      <c r="D17" s="27" t="n">
        <f aca="false">INDEX(Допущения!$B$43:$B$54,B17)</f>
        <v>1</v>
      </c>
      <c r="E17" s="26" t="n">
        <f aca="false">CHOOSE(Допущения!$B$22,Допущения!$B$23,Допущения!$B$24,Допущения!$B$25)</f>
        <v>1</v>
      </c>
      <c r="F17" s="28" t="n">
        <f aca="false">Допущения!$B$21*C17*D17*E17</f>
        <v>1200000</v>
      </c>
      <c r="G17" s="28" t="n">
        <f aca="false">F17*Допущения!$B$60</f>
        <v>420000</v>
      </c>
      <c r="H17" s="28" t="n">
        <f aca="false">F17-G17</f>
        <v>780000</v>
      </c>
      <c r="I17" s="29" t="n">
        <f aca="false">Допущения!$B$70</f>
        <v>500000</v>
      </c>
      <c r="J17" s="29" t="n">
        <f aca="false">Допущения!$B$77</f>
        <v>0</v>
      </c>
      <c r="K17" s="28" t="n">
        <f aca="false">IF(A17&lt;=Допущения!$B$18,Q16*Допущения!$B$17/12,0)</f>
        <v>0</v>
      </c>
      <c r="L17" s="28" t="n">
        <f aca="false">H17-I17-J17-K17</f>
        <v>280000</v>
      </c>
      <c r="M17" s="28" t="n">
        <f aca="false">IF(Допущения!$B$73=1,F17*Допущения!$B$74,MAX(L17*Допущения!$B$75,F17*Допущения!$B$76))</f>
        <v>72000</v>
      </c>
      <c r="N17" s="28" t="n">
        <f aca="false">L17-M17</f>
        <v>208000</v>
      </c>
      <c r="O17" s="28" t="n">
        <f aca="false">P17-K17</f>
        <v>0</v>
      </c>
      <c r="P17" s="28" t="n">
        <f aca="false">IF(A17&lt;=Допущения!$B$18,IF(Допущения!$B$16&gt;0,PMT(Допущения!$B$17/12,Допущения!$B$18,-Допущения!$B$16),0),0)</f>
        <v>0</v>
      </c>
      <c r="Q17" s="28" t="n">
        <f aca="false">Q16-O17</f>
        <v>0</v>
      </c>
      <c r="R17" s="28" t="n">
        <f aca="false">N17-O17</f>
        <v>208000</v>
      </c>
      <c r="S17" s="30" t="n">
        <f aca="false">S16+R17</f>
        <v>1850000</v>
      </c>
      <c r="T17" s="30" t="n">
        <f aca="false">Допущения!$B$15+Допущения!$B$16-Допущения!$B$12+S17</f>
        <v>2150000</v>
      </c>
      <c r="U17" s="25" t="str">
        <f aca="false">IF(AND(S17&gt;=Допущения!$B$79,S16&lt;Допущения!$B$79),A17,"")</f>
        <v/>
      </c>
    </row>
    <row r="18" customFormat="false" ht="15" hidden="false" customHeight="false" outlineLevel="0" collapsed="false">
      <c r="A18" s="25" t="n">
        <v>15</v>
      </c>
      <c r="B18" s="25" t="n">
        <f aca="false">MOD(Допущения!$B$26+A18-2,12)+1</f>
        <v>3</v>
      </c>
      <c r="C18" s="26" t="n">
        <f aca="false">IF(A18&lt;=12,INDEX(Допущения!$B$29:$B$40,A18),1)</f>
        <v>1</v>
      </c>
      <c r="D18" s="27" t="n">
        <f aca="false">INDEX(Допущения!$B$43:$B$54,B18)</f>
        <v>1</v>
      </c>
      <c r="E18" s="26" t="n">
        <f aca="false">CHOOSE(Допущения!$B$22,Допущения!$B$23,Допущения!$B$24,Допущения!$B$25)</f>
        <v>1</v>
      </c>
      <c r="F18" s="28" t="n">
        <f aca="false">Допущения!$B$21*C18*D18*E18</f>
        <v>1200000</v>
      </c>
      <c r="G18" s="28" t="n">
        <f aca="false">F18*Допущения!$B$60</f>
        <v>420000</v>
      </c>
      <c r="H18" s="28" t="n">
        <f aca="false">F18-G18</f>
        <v>780000</v>
      </c>
      <c r="I18" s="29" t="n">
        <f aca="false">Допущения!$B$70</f>
        <v>500000</v>
      </c>
      <c r="J18" s="29" t="n">
        <f aca="false">Допущения!$B$77</f>
        <v>0</v>
      </c>
      <c r="K18" s="28" t="n">
        <f aca="false">IF(A18&lt;=Допущения!$B$18,Q17*Допущения!$B$17/12,0)</f>
        <v>0</v>
      </c>
      <c r="L18" s="28" t="n">
        <f aca="false">H18-I18-J18-K18</f>
        <v>280000</v>
      </c>
      <c r="M18" s="28" t="n">
        <f aca="false">IF(Допущения!$B$73=1,F18*Допущения!$B$74,MAX(L18*Допущения!$B$75,F18*Допущения!$B$76))</f>
        <v>72000</v>
      </c>
      <c r="N18" s="28" t="n">
        <f aca="false">L18-M18</f>
        <v>208000</v>
      </c>
      <c r="O18" s="28" t="n">
        <f aca="false">P18-K18</f>
        <v>0</v>
      </c>
      <c r="P18" s="28" t="n">
        <f aca="false">IF(A18&lt;=Допущения!$B$18,IF(Допущения!$B$16&gt;0,PMT(Допущения!$B$17/12,Допущения!$B$18,-Допущения!$B$16),0),0)</f>
        <v>0</v>
      </c>
      <c r="Q18" s="28" t="n">
        <f aca="false">Q17-O18</f>
        <v>0</v>
      </c>
      <c r="R18" s="28" t="n">
        <f aca="false">N18-O18</f>
        <v>208000</v>
      </c>
      <c r="S18" s="30" t="n">
        <f aca="false">S17+R18</f>
        <v>2058000</v>
      </c>
      <c r="T18" s="30" t="n">
        <f aca="false">Допущения!$B$15+Допущения!$B$16-Допущения!$B$12+S18</f>
        <v>2358000</v>
      </c>
      <c r="U18" s="25" t="str">
        <f aca="false">IF(AND(S18&gt;=Допущения!$B$79,S17&lt;Допущения!$B$79),A18,"")</f>
        <v/>
      </c>
    </row>
    <row r="19" customFormat="false" ht="15" hidden="false" customHeight="false" outlineLevel="0" collapsed="false">
      <c r="A19" s="25" t="n">
        <v>16</v>
      </c>
      <c r="B19" s="25" t="n">
        <f aca="false">MOD(Допущения!$B$26+A19-2,12)+1</f>
        <v>4</v>
      </c>
      <c r="C19" s="26" t="n">
        <f aca="false">IF(A19&lt;=12,INDEX(Допущения!$B$29:$B$40,A19),1)</f>
        <v>1</v>
      </c>
      <c r="D19" s="27" t="n">
        <f aca="false">INDEX(Допущения!$B$43:$B$54,B19)</f>
        <v>1</v>
      </c>
      <c r="E19" s="26" t="n">
        <f aca="false">CHOOSE(Допущения!$B$22,Допущения!$B$23,Допущения!$B$24,Допущения!$B$25)</f>
        <v>1</v>
      </c>
      <c r="F19" s="28" t="n">
        <f aca="false">Допущения!$B$21*C19*D19*E19</f>
        <v>1200000</v>
      </c>
      <c r="G19" s="28" t="n">
        <f aca="false">F19*Допущения!$B$60</f>
        <v>420000</v>
      </c>
      <c r="H19" s="28" t="n">
        <f aca="false">F19-G19</f>
        <v>780000</v>
      </c>
      <c r="I19" s="29" t="n">
        <f aca="false">Допущения!$B$70</f>
        <v>500000</v>
      </c>
      <c r="J19" s="29" t="n">
        <f aca="false">Допущения!$B$77</f>
        <v>0</v>
      </c>
      <c r="K19" s="28" t="n">
        <f aca="false">IF(A19&lt;=Допущения!$B$18,Q18*Допущения!$B$17/12,0)</f>
        <v>0</v>
      </c>
      <c r="L19" s="28" t="n">
        <f aca="false">H19-I19-J19-K19</f>
        <v>280000</v>
      </c>
      <c r="M19" s="28" t="n">
        <f aca="false">IF(Допущения!$B$73=1,F19*Допущения!$B$74,MAX(L19*Допущения!$B$75,F19*Допущения!$B$76))</f>
        <v>72000</v>
      </c>
      <c r="N19" s="28" t="n">
        <f aca="false">L19-M19</f>
        <v>208000</v>
      </c>
      <c r="O19" s="28" t="n">
        <f aca="false">P19-K19</f>
        <v>0</v>
      </c>
      <c r="P19" s="28" t="n">
        <f aca="false">IF(A19&lt;=Допущения!$B$18,IF(Допущения!$B$16&gt;0,PMT(Допущения!$B$17/12,Допущения!$B$18,-Допущения!$B$16),0),0)</f>
        <v>0</v>
      </c>
      <c r="Q19" s="28" t="n">
        <f aca="false">Q18-O19</f>
        <v>0</v>
      </c>
      <c r="R19" s="28" t="n">
        <f aca="false">N19-O19</f>
        <v>208000</v>
      </c>
      <c r="S19" s="30" t="n">
        <f aca="false">S18+R19</f>
        <v>2266000</v>
      </c>
      <c r="T19" s="30" t="n">
        <f aca="false">Допущения!$B$15+Допущения!$B$16-Допущения!$B$12+S19</f>
        <v>2566000</v>
      </c>
      <c r="U19" s="25" t="str">
        <f aca="false">IF(AND(S19&gt;=Допущения!$B$79,S18&lt;Допущения!$B$79),A19,"")</f>
        <v/>
      </c>
    </row>
    <row r="20" customFormat="false" ht="15" hidden="false" customHeight="false" outlineLevel="0" collapsed="false">
      <c r="A20" s="25" t="n">
        <v>17</v>
      </c>
      <c r="B20" s="25" t="n">
        <f aca="false">MOD(Допущения!$B$26+A20-2,12)+1</f>
        <v>5</v>
      </c>
      <c r="C20" s="26" t="n">
        <f aca="false">IF(A20&lt;=12,INDEX(Допущения!$B$29:$B$40,A20),1)</f>
        <v>1</v>
      </c>
      <c r="D20" s="27" t="n">
        <f aca="false">INDEX(Допущения!$B$43:$B$54,B20)</f>
        <v>1</v>
      </c>
      <c r="E20" s="26" t="n">
        <f aca="false">CHOOSE(Допущения!$B$22,Допущения!$B$23,Допущения!$B$24,Допущения!$B$25)</f>
        <v>1</v>
      </c>
      <c r="F20" s="28" t="n">
        <f aca="false">Допущения!$B$21*C20*D20*E20</f>
        <v>1200000</v>
      </c>
      <c r="G20" s="28" t="n">
        <f aca="false">F20*Допущения!$B$60</f>
        <v>420000</v>
      </c>
      <c r="H20" s="28" t="n">
        <f aca="false">F20-G20</f>
        <v>780000</v>
      </c>
      <c r="I20" s="29" t="n">
        <f aca="false">Допущения!$B$70</f>
        <v>500000</v>
      </c>
      <c r="J20" s="29" t="n">
        <f aca="false">Допущения!$B$77</f>
        <v>0</v>
      </c>
      <c r="K20" s="28" t="n">
        <f aca="false">IF(A20&lt;=Допущения!$B$18,Q19*Допущения!$B$17/12,0)</f>
        <v>0</v>
      </c>
      <c r="L20" s="28" t="n">
        <f aca="false">H20-I20-J20-K20</f>
        <v>280000</v>
      </c>
      <c r="M20" s="28" t="n">
        <f aca="false">IF(Допущения!$B$73=1,F20*Допущения!$B$74,MAX(L20*Допущения!$B$75,F20*Допущения!$B$76))</f>
        <v>72000</v>
      </c>
      <c r="N20" s="28" t="n">
        <f aca="false">L20-M20</f>
        <v>208000</v>
      </c>
      <c r="O20" s="28" t="n">
        <f aca="false">P20-K20</f>
        <v>0</v>
      </c>
      <c r="P20" s="28" t="n">
        <f aca="false">IF(A20&lt;=Допущения!$B$18,IF(Допущения!$B$16&gt;0,PMT(Допущения!$B$17/12,Допущения!$B$18,-Допущения!$B$16),0),0)</f>
        <v>0</v>
      </c>
      <c r="Q20" s="28" t="n">
        <f aca="false">Q19-O20</f>
        <v>0</v>
      </c>
      <c r="R20" s="28" t="n">
        <f aca="false">N20-O20</f>
        <v>208000</v>
      </c>
      <c r="S20" s="30" t="n">
        <f aca="false">S19+R20</f>
        <v>2474000</v>
      </c>
      <c r="T20" s="30" t="n">
        <f aca="false">Допущения!$B$15+Допущения!$B$16-Допущения!$B$12+S20</f>
        <v>2774000</v>
      </c>
      <c r="U20" s="25" t="str">
        <f aca="false">IF(AND(S20&gt;=Допущения!$B$79,S19&lt;Допущения!$B$79),A20,"")</f>
        <v/>
      </c>
    </row>
    <row r="21" customFormat="false" ht="15" hidden="false" customHeight="false" outlineLevel="0" collapsed="false">
      <c r="A21" s="25" t="n">
        <v>18</v>
      </c>
      <c r="B21" s="25" t="n">
        <f aca="false">MOD(Допущения!$B$26+A21-2,12)+1</f>
        <v>6</v>
      </c>
      <c r="C21" s="26" t="n">
        <f aca="false">IF(A21&lt;=12,INDEX(Допущения!$B$29:$B$40,A21),1)</f>
        <v>1</v>
      </c>
      <c r="D21" s="27" t="n">
        <f aca="false">INDEX(Допущения!$B$43:$B$54,B21)</f>
        <v>1</v>
      </c>
      <c r="E21" s="26" t="n">
        <f aca="false">CHOOSE(Допущения!$B$22,Допущения!$B$23,Допущения!$B$24,Допущения!$B$25)</f>
        <v>1</v>
      </c>
      <c r="F21" s="28" t="n">
        <f aca="false">Допущения!$B$21*C21*D21*E21</f>
        <v>1200000</v>
      </c>
      <c r="G21" s="28" t="n">
        <f aca="false">F21*Допущения!$B$60</f>
        <v>420000</v>
      </c>
      <c r="H21" s="28" t="n">
        <f aca="false">F21-G21</f>
        <v>780000</v>
      </c>
      <c r="I21" s="29" t="n">
        <f aca="false">Допущения!$B$70</f>
        <v>500000</v>
      </c>
      <c r="J21" s="29" t="n">
        <f aca="false">Допущения!$B$77</f>
        <v>0</v>
      </c>
      <c r="K21" s="28" t="n">
        <f aca="false">IF(A21&lt;=Допущения!$B$18,Q20*Допущения!$B$17/12,0)</f>
        <v>0</v>
      </c>
      <c r="L21" s="28" t="n">
        <f aca="false">H21-I21-J21-K21</f>
        <v>280000</v>
      </c>
      <c r="M21" s="28" t="n">
        <f aca="false">IF(Допущения!$B$73=1,F21*Допущения!$B$74,MAX(L21*Допущения!$B$75,F21*Допущения!$B$76))</f>
        <v>72000</v>
      </c>
      <c r="N21" s="28" t="n">
        <f aca="false">L21-M21</f>
        <v>208000</v>
      </c>
      <c r="O21" s="28" t="n">
        <f aca="false">P21-K21</f>
        <v>0</v>
      </c>
      <c r="P21" s="28" t="n">
        <f aca="false">IF(A21&lt;=Допущения!$B$18,IF(Допущения!$B$16&gt;0,PMT(Допущения!$B$17/12,Допущения!$B$18,-Допущения!$B$16),0),0)</f>
        <v>0</v>
      </c>
      <c r="Q21" s="28" t="n">
        <f aca="false">Q20-O21</f>
        <v>0</v>
      </c>
      <c r="R21" s="28" t="n">
        <f aca="false">N21-O21</f>
        <v>208000</v>
      </c>
      <c r="S21" s="30" t="n">
        <f aca="false">S20+R21</f>
        <v>2682000</v>
      </c>
      <c r="T21" s="30" t="n">
        <f aca="false">Допущения!$B$15+Допущения!$B$16-Допущения!$B$12+S21</f>
        <v>2982000</v>
      </c>
      <c r="U21" s="25" t="str">
        <f aca="false">IF(AND(S21&gt;=Допущения!$B$79,S20&lt;Допущения!$B$79),A21,"")</f>
        <v/>
      </c>
    </row>
    <row r="22" customFormat="false" ht="15" hidden="false" customHeight="false" outlineLevel="0" collapsed="false">
      <c r="A22" s="25" t="n">
        <v>19</v>
      </c>
      <c r="B22" s="25" t="n">
        <f aca="false">MOD(Допущения!$B$26+A22-2,12)+1</f>
        <v>7</v>
      </c>
      <c r="C22" s="26" t="n">
        <f aca="false">IF(A22&lt;=12,INDEX(Допущения!$B$29:$B$40,A22),1)</f>
        <v>1</v>
      </c>
      <c r="D22" s="27" t="n">
        <f aca="false">INDEX(Допущения!$B$43:$B$54,B22)</f>
        <v>1</v>
      </c>
      <c r="E22" s="26" t="n">
        <f aca="false">CHOOSE(Допущения!$B$22,Допущения!$B$23,Допущения!$B$24,Допущения!$B$25)</f>
        <v>1</v>
      </c>
      <c r="F22" s="28" t="n">
        <f aca="false">Допущения!$B$21*C22*D22*E22</f>
        <v>1200000</v>
      </c>
      <c r="G22" s="28" t="n">
        <f aca="false">F22*Допущения!$B$60</f>
        <v>420000</v>
      </c>
      <c r="H22" s="28" t="n">
        <f aca="false">F22-G22</f>
        <v>780000</v>
      </c>
      <c r="I22" s="29" t="n">
        <f aca="false">Допущения!$B$70</f>
        <v>500000</v>
      </c>
      <c r="J22" s="29" t="n">
        <f aca="false">Допущения!$B$77</f>
        <v>0</v>
      </c>
      <c r="K22" s="28" t="n">
        <f aca="false">IF(A22&lt;=Допущения!$B$18,Q21*Допущения!$B$17/12,0)</f>
        <v>0</v>
      </c>
      <c r="L22" s="28" t="n">
        <f aca="false">H22-I22-J22-K22</f>
        <v>280000</v>
      </c>
      <c r="M22" s="28" t="n">
        <f aca="false">IF(Допущения!$B$73=1,F22*Допущения!$B$74,MAX(L22*Допущения!$B$75,F22*Допущения!$B$76))</f>
        <v>72000</v>
      </c>
      <c r="N22" s="28" t="n">
        <f aca="false">L22-M22</f>
        <v>208000</v>
      </c>
      <c r="O22" s="28" t="n">
        <f aca="false">P22-K22</f>
        <v>0</v>
      </c>
      <c r="P22" s="28" t="n">
        <f aca="false">IF(A22&lt;=Допущения!$B$18,IF(Допущения!$B$16&gt;0,PMT(Допущения!$B$17/12,Допущения!$B$18,-Допущения!$B$16),0),0)</f>
        <v>0</v>
      </c>
      <c r="Q22" s="28" t="n">
        <f aca="false">Q21-O22</f>
        <v>0</v>
      </c>
      <c r="R22" s="28" t="n">
        <f aca="false">N22-O22</f>
        <v>208000</v>
      </c>
      <c r="S22" s="30" t="n">
        <f aca="false">S21+R22</f>
        <v>2890000</v>
      </c>
      <c r="T22" s="30" t="n">
        <f aca="false">Допущения!$B$15+Допущения!$B$16-Допущения!$B$12+S22</f>
        <v>3190000</v>
      </c>
      <c r="U22" s="25" t="str">
        <f aca="false">IF(AND(S22&gt;=Допущения!$B$79,S21&lt;Допущения!$B$79),A22,"")</f>
        <v/>
      </c>
    </row>
    <row r="23" customFormat="false" ht="15" hidden="false" customHeight="false" outlineLevel="0" collapsed="false">
      <c r="A23" s="25" t="n">
        <v>20</v>
      </c>
      <c r="B23" s="25" t="n">
        <f aca="false">MOD(Допущения!$B$26+A23-2,12)+1</f>
        <v>8</v>
      </c>
      <c r="C23" s="26" t="n">
        <f aca="false">IF(A23&lt;=12,INDEX(Допущения!$B$29:$B$40,A23),1)</f>
        <v>1</v>
      </c>
      <c r="D23" s="27" t="n">
        <f aca="false">INDEX(Допущения!$B$43:$B$54,B23)</f>
        <v>1</v>
      </c>
      <c r="E23" s="26" t="n">
        <f aca="false">CHOOSE(Допущения!$B$22,Допущения!$B$23,Допущения!$B$24,Допущения!$B$25)</f>
        <v>1</v>
      </c>
      <c r="F23" s="28" t="n">
        <f aca="false">Допущения!$B$21*C23*D23*E23</f>
        <v>1200000</v>
      </c>
      <c r="G23" s="28" t="n">
        <f aca="false">F23*Допущения!$B$60</f>
        <v>420000</v>
      </c>
      <c r="H23" s="28" t="n">
        <f aca="false">F23-G23</f>
        <v>780000</v>
      </c>
      <c r="I23" s="29" t="n">
        <f aca="false">Допущения!$B$70</f>
        <v>500000</v>
      </c>
      <c r="J23" s="29" t="n">
        <f aca="false">Допущения!$B$77</f>
        <v>0</v>
      </c>
      <c r="K23" s="28" t="n">
        <f aca="false">IF(A23&lt;=Допущения!$B$18,Q22*Допущения!$B$17/12,0)</f>
        <v>0</v>
      </c>
      <c r="L23" s="28" t="n">
        <f aca="false">H23-I23-J23-K23</f>
        <v>280000</v>
      </c>
      <c r="M23" s="28" t="n">
        <f aca="false">IF(Допущения!$B$73=1,F23*Допущения!$B$74,MAX(L23*Допущения!$B$75,F23*Допущения!$B$76))</f>
        <v>72000</v>
      </c>
      <c r="N23" s="28" t="n">
        <f aca="false">L23-M23</f>
        <v>208000</v>
      </c>
      <c r="O23" s="28" t="n">
        <f aca="false">P23-K23</f>
        <v>0</v>
      </c>
      <c r="P23" s="28" t="n">
        <f aca="false">IF(A23&lt;=Допущения!$B$18,IF(Допущения!$B$16&gt;0,PMT(Допущения!$B$17/12,Допущения!$B$18,-Допущения!$B$16),0),0)</f>
        <v>0</v>
      </c>
      <c r="Q23" s="28" t="n">
        <f aca="false">Q22-O23</f>
        <v>0</v>
      </c>
      <c r="R23" s="28" t="n">
        <f aca="false">N23-O23</f>
        <v>208000</v>
      </c>
      <c r="S23" s="30" t="n">
        <f aca="false">S22+R23</f>
        <v>3098000</v>
      </c>
      <c r="T23" s="30" t="n">
        <f aca="false">Допущения!$B$15+Допущения!$B$16-Допущения!$B$12+S23</f>
        <v>3398000</v>
      </c>
      <c r="U23" s="25" t="n">
        <f aca="false">IF(AND(S23&gt;=Допущения!$B$79,S22&lt;Допущения!$B$79),A23,"")</f>
        <v>20</v>
      </c>
    </row>
    <row r="24" customFormat="false" ht="15" hidden="false" customHeight="false" outlineLevel="0" collapsed="false">
      <c r="A24" s="25" t="n">
        <v>21</v>
      </c>
      <c r="B24" s="25" t="n">
        <f aca="false">MOD(Допущения!$B$26+A24-2,12)+1</f>
        <v>9</v>
      </c>
      <c r="C24" s="26" t="n">
        <f aca="false">IF(A24&lt;=12,INDEX(Допущения!$B$29:$B$40,A24),1)</f>
        <v>1</v>
      </c>
      <c r="D24" s="27" t="n">
        <f aca="false">INDEX(Допущения!$B$43:$B$54,B24)</f>
        <v>1</v>
      </c>
      <c r="E24" s="26" t="n">
        <f aca="false">CHOOSE(Допущения!$B$22,Допущения!$B$23,Допущения!$B$24,Допущения!$B$25)</f>
        <v>1</v>
      </c>
      <c r="F24" s="28" t="n">
        <f aca="false">Допущения!$B$21*C24*D24*E24</f>
        <v>1200000</v>
      </c>
      <c r="G24" s="28" t="n">
        <f aca="false">F24*Допущения!$B$60</f>
        <v>420000</v>
      </c>
      <c r="H24" s="28" t="n">
        <f aca="false">F24-G24</f>
        <v>780000</v>
      </c>
      <c r="I24" s="29" t="n">
        <f aca="false">Допущения!$B$70</f>
        <v>500000</v>
      </c>
      <c r="J24" s="29" t="n">
        <f aca="false">Допущения!$B$77</f>
        <v>0</v>
      </c>
      <c r="K24" s="28" t="n">
        <f aca="false">IF(A24&lt;=Допущения!$B$18,Q23*Допущения!$B$17/12,0)</f>
        <v>0</v>
      </c>
      <c r="L24" s="28" t="n">
        <f aca="false">H24-I24-J24-K24</f>
        <v>280000</v>
      </c>
      <c r="M24" s="28" t="n">
        <f aca="false">IF(Допущения!$B$73=1,F24*Допущения!$B$74,MAX(L24*Допущения!$B$75,F24*Допущения!$B$76))</f>
        <v>72000</v>
      </c>
      <c r="N24" s="28" t="n">
        <f aca="false">L24-M24</f>
        <v>208000</v>
      </c>
      <c r="O24" s="28" t="n">
        <f aca="false">P24-K24</f>
        <v>0</v>
      </c>
      <c r="P24" s="28" t="n">
        <f aca="false">IF(A24&lt;=Допущения!$B$18,IF(Допущения!$B$16&gt;0,PMT(Допущения!$B$17/12,Допущения!$B$18,-Допущения!$B$16),0),0)</f>
        <v>0</v>
      </c>
      <c r="Q24" s="28" t="n">
        <f aca="false">Q23-O24</f>
        <v>0</v>
      </c>
      <c r="R24" s="28" t="n">
        <f aca="false">N24-O24</f>
        <v>208000</v>
      </c>
      <c r="S24" s="30" t="n">
        <f aca="false">S23+R24</f>
        <v>3306000</v>
      </c>
      <c r="T24" s="30" t="n">
        <f aca="false">Допущения!$B$15+Допущения!$B$16-Допущения!$B$12+S24</f>
        <v>3606000</v>
      </c>
      <c r="U24" s="25" t="str">
        <f aca="false">IF(AND(S24&gt;=Допущения!$B$79,S23&lt;Допущения!$B$79),A24,"")</f>
        <v/>
      </c>
    </row>
    <row r="25" customFormat="false" ht="15" hidden="false" customHeight="false" outlineLevel="0" collapsed="false">
      <c r="A25" s="25" t="n">
        <v>22</v>
      </c>
      <c r="B25" s="25" t="n">
        <f aca="false">MOD(Допущения!$B$26+A25-2,12)+1</f>
        <v>10</v>
      </c>
      <c r="C25" s="26" t="n">
        <f aca="false">IF(A25&lt;=12,INDEX(Допущения!$B$29:$B$40,A25),1)</f>
        <v>1</v>
      </c>
      <c r="D25" s="27" t="n">
        <f aca="false">INDEX(Допущения!$B$43:$B$54,B25)</f>
        <v>1</v>
      </c>
      <c r="E25" s="26" t="n">
        <f aca="false">CHOOSE(Допущения!$B$22,Допущения!$B$23,Допущения!$B$24,Допущения!$B$25)</f>
        <v>1</v>
      </c>
      <c r="F25" s="28" t="n">
        <f aca="false">Допущения!$B$21*C25*D25*E25</f>
        <v>1200000</v>
      </c>
      <c r="G25" s="28" t="n">
        <f aca="false">F25*Допущения!$B$60</f>
        <v>420000</v>
      </c>
      <c r="H25" s="28" t="n">
        <f aca="false">F25-G25</f>
        <v>780000</v>
      </c>
      <c r="I25" s="29" t="n">
        <f aca="false">Допущения!$B$70</f>
        <v>500000</v>
      </c>
      <c r="J25" s="29" t="n">
        <f aca="false">Допущения!$B$77</f>
        <v>0</v>
      </c>
      <c r="K25" s="28" t="n">
        <f aca="false">IF(A25&lt;=Допущения!$B$18,Q24*Допущения!$B$17/12,0)</f>
        <v>0</v>
      </c>
      <c r="L25" s="28" t="n">
        <f aca="false">H25-I25-J25-K25</f>
        <v>280000</v>
      </c>
      <c r="M25" s="28" t="n">
        <f aca="false">IF(Допущения!$B$73=1,F25*Допущения!$B$74,MAX(L25*Допущения!$B$75,F25*Допущения!$B$76))</f>
        <v>72000</v>
      </c>
      <c r="N25" s="28" t="n">
        <f aca="false">L25-M25</f>
        <v>208000</v>
      </c>
      <c r="O25" s="28" t="n">
        <f aca="false">P25-K25</f>
        <v>0</v>
      </c>
      <c r="P25" s="28" t="n">
        <f aca="false">IF(A25&lt;=Допущения!$B$18,IF(Допущения!$B$16&gt;0,PMT(Допущения!$B$17/12,Допущения!$B$18,-Допущения!$B$16),0),0)</f>
        <v>0</v>
      </c>
      <c r="Q25" s="28" t="n">
        <f aca="false">Q24-O25</f>
        <v>0</v>
      </c>
      <c r="R25" s="28" t="n">
        <f aca="false">N25-O25</f>
        <v>208000</v>
      </c>
      <c r="S25" s="30" t="n">
        <f aca="false">S24+R25</f>
        <v>3514000</v>
      </c>
      <c r="T25" s="30" t="n">
        <f aca="false">Допущения!$B$15+Допущения!$B$16-Допущения!$B$12+S25</f>
        <v>3814000</v>
      </c>
      <c r="U25" s="25" t="str">
        <f aca="false">IF(AND(S25&gt;=Допущения!$B$79,S24&lt;Допущения!$B$79),A25,"")</f>
        <v/>
      </c>
    </row>
    <row r="26" customFormat="false" ht="15" hidden="false" customHeight="false" outlineLevel="0" collapsed="false">
      <c r="A26" s="25" t="n">
        <v>23</v>
      </c>
      <c r="B26" s="25" t="n">
        <f aca="false">MOD(Допущения!$B$26+A26-2,12)+1</f>
        <v>11</v>
      </c>
      <c r="C26" s="26" t="n">
        <f aca="false">IF(A26&lt;=12,INDEX(Допущения!$B$29:$B$40,A26),1)</f>
        <v>1</v>
      </c>
      <c r="D26" s="27" t="n">
        <f aca="false">INDEX(Допущения!$B$43:$B$54,B26)</f>
        <v>1</v>
      </c>
      <c r="E26" s="26" t="n">
        <f aca="false">CHOOSE(Допущения!$B$22,Допущения!$B$23,Допущения!$B$24,Допущения!$B$25)</f>
        <v>1</v>
      </c>
      <c r="F26" s="28" t="n">
        <f aca="false">Допущения!$B$21*C26*D26*E26</f>
        <v>1200000</v>
      </c>
      <c r="G26" s="28" t="n">
        <f aca="false">F26*Допущения!$B$60</f>
        <v>420000</v>
      </c>
      <c r="H26" s="28" t="n">
        <f aca="false">F26-G26</f>
        <v>780000</v>
      </c>
      <c r="I26" s="29" t="n">
        <f aca="false">Допущения!$B$70</f>
        <v>500000</v>
      </c>
      <c r="J26" s="29" t="n">
        <f aca="false">Допущения!$B$77</f>
        <v>0</v>
      </c>
      <c r="K26" s="28" t="n">
        <f aca="false">IF(A26&lt;=Допущения!$B$18,Q25*Допущения!$B$17/12,0)</f>
        <v>0</v>
      </c>
      <c r="L26" s="28" t="n">
        <f aca="false">H26-I26-J26-K26</f>
        <v>280000</v>
      </c>
      <c r="M26" s="28" t="n">
        <f aca="false">IF(Допущения!$B$73=1,F26*Допущения!$B$74,MAX(L26*Допущения!$B$75,F26*Допущения!$B$76))</f>
        <v>72000</v>
      </c>
      <c r="N26" s="28" t="n">
        <f aca="false">L26-M26</f>
        <v>208000</v>
      </c>
      <c r="O26" s="28" t="n">
        <f aca="false">P26-K26</f>
        <v>0</v>
      </c>
      <c r="P26" s="28" t="n">
        <f aca="false">IF(A26&lt;=Допущения!$B$18,IF(Допущения!$B$16&gt;0,PMT(Допущения!$B$17/12,Допущения!$B$18,-Допущения!$B$16),0),0)</f>
        <v>0</v>
      </c>
      <c r="Q26" s="28" t="n">
        <f aca="false">Q25-O26</f>
        <v>0</v>
      </c>
      <c r="R26" s="28" t="n">
        <f aca="false">N26-O26</f>
        <v>208000</v>
      </c>
      <c r="S26" s="30" t="n">
        <f aca="false">S25+R26</f>
        <v>3722000</v>
      </c>
      <c r="T26" s="30" t="n">
        <f aca="false">Допущения!$B$15+Допущения!$B$16-Допущения!$B$12+S26</f>
        <v>4022000</v>
      </c>
      <c r="U26" s="25" t="str">
        <f aca="false">IF(AND(S26&gt;=Допущения!$B$79,S25&lt;Допущения!$B$79),A26,"")</f>
        <v/>
      </c>
    </row>
    <row r="27" customFormat="false" ht="15" hidden="false" customHeight="false" outlineLevel="0" collapsed="false">
      <c r="A27" s="25" t="n">
        <v>24</v>
      </c>
      <c r="B27" s="25" t="n">
        <f aca="false">MOD(Допущения!$B$26+A27-2,12)+1</f>
        <v>12</v>
      </c>
      <c r="C27" s="26" t="n">
        <f aca="false">IF(A27&lt;=12,INDEX(Допущения!$B$29:$B$40,A27),1)</f>
        <v>1</v>
      </c>
      <c r="D27" s="27" t="n">
        <f aca="false">INDEX(Допущения!$B$43:$B$54,B27)</f>
        <v>1</v>
      </c>
      <c r="E27" s="26" t="n">
        <f aca="false">CHOOSE(Допущения!$B$22,Допущения!$B$23,Допущения!$B$24,Допущения!$B$25)</f>
        <v>1</v>
      </c>
      <c r="F27" s="28" t="n">
        <f aca="false">Допущения!$B$21*C27*D27*E27</f>
        <v>1200000</v>
      </c>
      <c r="G27" s="28" t="n">
        <f aca="false">F27*Допущения!$B$60</f>
        <v>420000</v>
      </c>
      <c r="H27" s="28" t="n">
        <f aca="false">F27-G27</f>
        <v>780000</v>
      </c>
      <c r="I27" s="29" t="n">
        <f aca="false">Допущения!$B$70</f>
        <v>500000</v>
      </c>
      <c r="J27" s="29" t="n">
        <f aca="false">Допущения!$B$77</f>
        <v>0</v>
      </c>
      <c r="K27" s="28" t="n">
        <f aca="false">IF(A27&lt;=Допущения!$B$18,Q26*Допущения!$B$17/12,0)</f>
        <v>0</v>
      </c>
      <c r="L27" s="28" t="n">
        <f aca="false">H27-I27-J27-K27</f>
        <v>280000</v>
      </c>
      <c r="M27" s="28" t="n">
        <f aca="false">IF(Допущения!$B$73=1,F27*Допущения!$B$74,MAX(L27*Допущения!$B$75,F27*Допущения!$B$76))</f>
        <v>72000</v>
      </c>
      <c r="N27" s="28" t="n">
        <f aca="false">L27-M27</f>
        <v>208000</v>
      </c>
      <c r="O27" s="28" t="n">
        <f aca="false">P27-K27</f>
        <v>0</v>
      </c>
      <c r="P27" s="28" t="n">
        <f aca="false">IF(A27&lt;=Допущения!$B$18,IF(Допущения!$B$16&gt;0,PMT(Допущения!$B$17/12,Допущения!$B$18,-Допущения!$B$16),0),0)</f>
        <v>0</v>
      </c>
      <c r="Q27" s="28" t="n">
        <f aca="false">Q26-O27</f>
        <v>0</v>
      </c>
      <c r="R27" s="28" t="n">
        <f aca="false">N27-O27</f>
        <v>208000</v>
      </c>
      <c r="S27" s="30" t="n">
        <f aca="false">S26+R27</f>
        <v>3930000</v>
      </c>
      <c r="T27" s="30" t="n">
        <f aca="false">Допущения!$B$15+Допущения!$B$16-Допущения!$B$12+S27</f>
        <v>4230000</v>
      </c>
      <c r="U27" s="25" t="str">
        <f aca="false">IF(AND(S27&gt;=Допущения!$B$79,S26&lt;Допущения!$B$79),A27,"")</f>
        <v/>
      </c>
    </row>
    <row r="28" customFormat="false" ht="15" hidden="false" customHeight="false" outlineLevel="0" collapsed="false">
      <c r="A28" s="13" t="s">
        <v>160</v>
      </c>
      <c r="B28" s="15"/>
      <c r="C28" s="15"/>
      <c r="D28" s="15"/>
      <c r="E28" s="15"/>
      <c r="F28" s="14" t="n">
        <f aca="false">SUM(F4:F27)</f>
        <v>27000000</v>
      </c>
      <c r="G28" s="14" t="n">
        <f aca="false">SUM(G4:G27)</f>
        <v>9450000</v>
      </c>
      <c r="H28" s="14" t="n">
        <f aca="false">SUM(H4:H27)</f>
        <v>17550000</v>
      </c>
      <c r="I28" s="14" t="n">
        <f aca="false">SUM(I4:I27)</f>
        <v>12000000</v>
      </c>
      <c r="J28" s="14" t="n">
        <f aca="false">SUM(J4:J27)</f>
        <v>0</v>
      </c>
      <c r="K28" s="14" t="n">
        <f aca="false">SUM(K4:K27)</f>
        <v>0</v>
      </c>
      <c r="L28" s="14" t="n">
        <f aca="false">SUM(L4:L27)</f>
        <v>5550000</v>
      </c>
      <c r="M28" s="14" t="n">
        <f aca="false">SUM(M4:M27)</f>
        <v>1620000</v>
      </c>
      <c r="N28" s="14" t="n">
        <f aca="false">SUM(N4:N27)</f>
        <v>3930000</v>
      </c>
      <c r="O28" s="14" t="n">
        <f aca="false">SUM(O4:O27)</f>
        <v>0</v>
      </c>
      <c r="P28" s="14" t="n">
        <f aca="false">SUM(P4:P27)</f>
        <v>0</v>
      </c>
      <c r="Q28" s="15"/>
      <c r="R28" s="14" t="n">
        <f aca="false">SUM(R4:R27)</f>
        <v>3930000</v>
      </c>
      <c r="S28" s="15"/>
      <c r="T28" s="15"/>
      <c r="U28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8"/>
    <col collapsed="false" customWidth="true" hidden="false" outlineLevel="0" max="5" min="5" style="0" width="8"/>
    <col collapsed="false" customWidth="true" hidden="false" outlineLevel="0" max="20" min="6" style="0" width="14"/>
  </cols>
  <sheetData>
    <row r="1" customFormat="false" ht="17.35" hidden="false" customHeight="false" outlineLevel="0" collapsed="false">
      <c r="A1" s="7" t="s">
        <v>161</v>
      </c>
    </row>
    <row r="2" customFormat="false" ht="15" hidden="false" customHeight="false" outlineLevel="0" collapsed="false">
      <c r="A2" s="8" t="s">
        <v>162</v>
      </c>
    </row>
    <row r="4" customFormat="false" ht="15" hidden="false" customHeight="false" outlineLevel="0" collapsed="false">
      <c r="A4" s="9" t="s">
        <v>163</v>
      </c>
      <c r="B4" s="9" t="s">
        <v>164</v>
      </c>
      <c r="C4" s="9" t="s">
        <v>165</v>
      </c>
      <c r="D4" s="9" t="s">
        <v>166</v>
      </c>
    </row>
    <row r="5" customFormat="false" ht="15" hidden="false" customHeight="false" outlineLevel="0" collapsed="false">
      <c r="A5" s="11" t="s">
        <v>167</v>
      </c>
      <c r="B5" s="21" t="n">
        <f aca="false">F16</f>
        <v>480000</v>
      </c>
      <c r="C5" s="21" t="n">
        <f aca="false">K16</f>
        <v>600000</v>
      </c>
      <c r="D5" s="21" t="n">
        <f aca="false">P16</f>
        <v>720000</v>
      </c>
    </row>
    <row r="6" customFormat="false" ht="15" hidden="false" customHeight="false" outlineLevel="0" collapsed="false">
      <c r="A6" s="11" t="s">
        <v>168</v>
      </c>
      <c r="B6" s="21" t="n">
        <f aca="false">G16</f>
        <v>-216800</v>
      </c>
      <c r="C6" s="21" t="n">
        <f aca="false">L16</f>
        <v>-146000</v>
      </c>
      <c r="D6" s="21" t="n">
        <f aca="false">Q16</f>
        <v>-75200</v>
      </c>
    </row>
    <row r="7" customFormat="false" ht="15" hidden="false" customHeight="false" outlineLevel="0" collapsed="false">
      <c r="A7" s="11" t="s">
        <v>169</v>
      </c>
      <c r="B7" s="21" t="n">
        <f aca="false">Допущения!$B$21*Допущения!$B$23</f>
        <v>960000</v>
      </c>
      <c r="C7" s="21" t="n">
        <f aca="false">Допущения!$B$21*Допущения!$B$24</f>
        <v>1200000</v>
      </c>
      <c r="D7" s="21" t="n">
        <f aca="false">Допущения!$B$21*Допущения!$B$25</f>
        <v>1440000</v>
      </c>
    </row>
    <row r="8" customFormat="false" ht="15" hidden="false" customHeight="false" outlineLevel="0" collapsed="false">
      <c r="A8" s="11" t="s">
        <v>170</v>
      </c>
      <c r="B8" s="21" t="n">
        <f aca="false">IF(Допущения!$B$73=1,Допущения!$B$21*Допущения!$B$23*(1-Допущения!$B$60-Допущения!$B$74)-Допущения!$B$70-Допущения!$B$77,(Допущения!$B$21*Допущения!$B$23*(1-Допущения!$B$60)-Допущения!$B$70-Допущения!$B$77)-MAX((Допущения!$B$21*Допущения!$B$23*(1-Допущения!$B$60)-Допущения!$B$70-Допущения!$B$77)*Допущения!$B$75,Допущения!$B$21*Допущения!$B$23*Допущения!$B$76))</f>
        <v>66400.0000000001</v>
      </c>
      <c r="C8" s="21" t="n">
        <f aca="false">IF(Допущения!$B$73=1,Допущения!$B$21*Допущения!$B$24*(1-Допущения!$B$60-Допущения!$B$74)-Допущения!$B$70-Допущения!$B$77,(Допущения!$B$21*Допущения!$B$24*(1-Допущения!$B$60)-Допущения!$B$70-Допущения!$B$77)-MAX((Допущения!$B$21*Допущения!$B$24*(1-Допущения!$B$60)-Допущения!$B$70-Допущения!$B$77)*Допущения!$B$75,Допущения!$B$21*Допущения!$B$24*Допущения!$B$76))</f>
        <v>208000</v>
      </c>
      <c r="D8" s="21" t="n">
        <f aca="false">IF(Допущения!$B$73=1,Допущения!$B$21*Допущения!$B$25*(1-Допущения!$B$60-Допущения!$B$74)-Допущения!$B$70-Допущения!$B$77,(Допущения!$B$21*Допущения!$B$25*(1-Допущения!$B$60)-Допущения!$B$70-Допущения!$B$77)-MAX((Допущения!$B$21*Допущения!$B$25*(1-Допущения!$B$60)-Допущения!$B$70-Допущения!$B$77)*Допущения!$B$75,Допущения!$B$21*Допущения!$B$25*Допущения!$B$76))</f>
        <v>349600</v>
      </c>
    </row>
    <row r="9" customFormat="false" ht="15" hidden="false" customHeight="false" outlineLevel="0" collapsed="false">
      <c r="A9" s="11" t="s">
        <v>171</v>
      </c>
      <c r="B9" s="21" t="n">
        <f aca="false">SUM(G16:G27)</f>
        <v>-52800</v>
      </c>
      <c r="C9" s="21" t="n">
        <f aca="false">SUM(L16:L27)</f>
        <v>1434000</v>
      </c>
      <c r="D9" s="21" t="n">
        <f aca="false">SUM(Q16:Q27)</f>
        <v>2920800</v>
      </c>
    </row>
    <row r="10" customFormat="false" ht="15" hidden="false" customHeight="false" outlineLevel="0" collapsed="false">
      <c r="A10" s="11" t="s">
        <v>130</v>
      </c>
      <c r="B10" s="21" t="n">
        <f aca="false">MAX(0,-MIN(I16:I39))</f>
        <v>527360</v>
      </c>
      <c r="C10" s="21" t="n">
        <f aca="false">MAX(0,-MIN(N16:N39))</f>
        <v>225600</v>
      </c>
      <c r="D10" s="21" t="n">
        <f aca="false">MAX(0,-MIN(S16:S39))</f>
        <v>75200</v>
      </c>
    </row>
    <row r="11" customFormat="false" ht="15" hidden="false" customHeight="false" outlineLevel="0" collapsed="false">
      <c r="A11" s="11" t="s">
        <v>172</v>
      </c>
      <c r="B11" s="22" t="n">
        <f aca="false">IF(COUNT(J16:J39)&gt;0,MIN(J16:J39),IF(H39&gt;0,24+ROUNDUP((Допущения!$B$79-I39)/H39,0),"не окупается"))</f>
        <v>58</v>
      </c>
      <c r="C11" s="22" t="n">
        <f aca="false">IF(COUNT(O16:O39)&gt;0,MIN(O16:O39),IF(M39&gt;0,24+ROUNDUP((Допущения!$B$79-N39)/M39,0),"не окупается"))</f>
        <v>20</v>
      </c>
      <c r="D11" s="22" t="n">
        <f aca="false">IF(COUNT(T16:T39)&gt;0,MIN(T16:T39),IF(R39&gt;0,24+ROUNDUP((Допущения!$B$79-S39)/R39,0),"не окупается"))</f>
        <v>13</v>
      </c>
    </row>
    <row r="12" customFormat="false" ht="15" hidden="false" customHeight="false" outlineLevel="0" collapsed="false">
      <c r="A12" s="11" t="s">
        <v>126</v>
      </c>
      <c r="B12" s="23" t="str">
        <f aca="false">IF(COUNT(J16:J39)&gt;0,"да","нет — оценка по 24-му месяцу")</f>
        <v>нет — оценка по 24-му месяцу</v>
      </c>
      <c r="C12" s="23" t="str">
        <f aca="false">IF(COUNT(O16:O39)&gt;0,"да","нет — оценка по 24-му месяцу")</f>
        <v>да</v>
      </c>
      <c r="D12" s="23" t="str">
        <f aca="false">IF(COUNT(T16:T39)&gt;0,"да","нет — оценка по 24-му месяцу")</f>
        <v>да</v>
      </c>
    </row>
    <row r="14" customFormat="false" ht="15" hidden="false" customHeight="false" outlineLevel="0" collapsed="false">
      <c r="A14" s="31" t="s">
        <v>173</v>
      </c>
    </row>
    <row r="15" customFormat="false" ht="45" hidden="false" customHeight="true" outlineLevel="0" collapsed="false">
      <c r="E15" s="31" t="s">
        <v>174</v>
      </c>
      <c r="F15" s="24" t="s">
        <v>175</v>
      </c>
      <c r="G15" s="24" t="s">
        <v>176</v>
      </c>
      <c r="H15" s="24" t="s">
        <v>177</v>
      </c>
      <c r="I15" s="24" t="s">
        <v>178</v>
      </c>
      <c r="J15" s="24" t="s">
        <v>179</v>
      </c>
      <c r="K15" s="24" t="s">
        <v>180</v>
      </c>
      <c r="L15" s="24" t="s">
        <v>181</v>
      </c>
      <c r="M15" s="24" t="s">
        <v>182</v>
      </c>
      <c r="N15" s="24" t="s">
        <v>183</v>
      </c>
      <c r="O15" s="24" t="s">
        <v>184</v>
      </c>
      <c r="P15" s="24" t="s">
        <v>185</v>
      </c>
      <c r="Q15" s="24" t="s">
        <v>186</v>
      </c>
      <c r="R15" s="24" t="s">
        <v>187</v>
      </c>
      <c r="S15" s="24" t="s">
        <v>188</v>
      </c>
      <c r="T15" s="24" t="s">
        <v>189</v>
      </c>
    </row>
    <row r="16" customFormat="false" ht="15" hidden="false" customHeight="false" outlineLevel="0" collapsed="false">
      <c r="E16" s="32" t="n">
        <v>1</v>
      </c>
      <c r="F16" s="33" t="n">
        <f aca="false">Допущения!$B$21*Модель!C4*Модель!D4*Допущения!$B$23</f>
        <v>480000</v>
      </c>
      <c r="G16" s="33" t="n">
        <f aca="false">(F16*(1-Допущения!$B$60)-Допущения!$B$70-Допущения!$B$77-Модель!K4)-IF(Допущения!$B$73=1,F16*Допущения!$B$74,MAX((F16*(1-Допущения!$B$60)-Допущения!$B$70-Допущения!$B$77-Модель!K4)*Допущения!$B$75,F16*Допущения!$B$76))</f>
        <v>-216800</v>
      </c>
      <c r="H16" s="33" t="n">
        <f aca="false">G16-Модель!O4</f>
        <v>-216800</v>
      </c>
      <c r="I16" s="33" t="n">
        <f aca="false">H16</f>
        <v>-216800</v>
      </c>
      <c r="J16" s="32" t="str">
        <f aca="false">IF(I16&gt;=Допущения!$B$79,E16,"")</f>
        <v/>
      </c>
      <c r="K16" s="33" t="n">
        <f aca="false">Допущения!$B$21*Модель!C4*Модель!D4*Допущения!$B$24</f>
        <v>600000</v>
      </c>
      <c r="L16" s="33" t="n">
        <f aca="false">(K16*(1-Допущения!$B$60)-Допущения!$B$70-Допущения!$B$77-Модель!K4)-IF(Допущения!$B$73=1,K16*Допущения!$B$74,MAX((K16*(1-Допущения!$B$60)-Допущения!$B$70-Допущения!$B$77-Модель!K4)*Допущения!$B$75,K16*Допущения!$B$76))</f>
        <v>-146000</v>
      </c>
      <c r="M16" s="33" t="n">
        <f aca="false">L16-Модель!O4</f>
        <v>-146000</v>
      </c>
      <c r="N16" s="33" t="n">
        <f aca="false">M16</f>
        <v>-146000</v>
      </c>
      <c r="O16" s="32" t="str">
        <f aca="false">IF(N16&gt;=Допущения!$B$79,E16,"")</f>
        <v/>
      </c>
      <c r="P16" s="33" t="n">
        <f aca="false">Допущения!$B$21*Модель!C4*Модель!D4*Допущения!$B$25</f>
        <v>720000</v>
      </c>
      <c r="Q16" s="33" t="n">
        <f aca="false">(P16*(1-Допущения!$B$60)-Допущения!$B$70-Допущения!$B$77-Модель!K4)-IF(Допущения!$B$73=1,P16*Допущения!$B$74,MAX((P16*(1-Допущения!$B$60)-Допущения!$B$70-Допущения!$B$77-Модель!K4)*Допущения!$B$75,P16*Допущения!$B$76))</f>
        <v>-75200</v>
      </c>
      <c r="R16" s="33" t="n">
        <f aca="false">Q16-Модель!O4</f>
        <v>-75200</v>
      </c>
      <c r="S16" s="33" t="n">
        <f aca="false">R16</f>
        <v>-75200</v>
      </c>
      <c r="T16" s="32" t="str">
        <f aca="false">IF(S16&gt;=Допущения!$B$79,E16,"")</f>
        <v/>
      </c>
    </row>
    <row r="17" customFormat="false" ht="15" hidden="false" customHeight="false" outlineLevel="0" collapsed="false">
      <c r="E17" s="32" t="n">
        <v>2</v>
      </c>
      <c r="F17" s="33" t="n">
        <f aca="false">Допущения!$B$21*Модель!C5*Модель!D5*Допущения!$B$23</f>
        <v>576000</v>
      </c>
      <c r="G17" s="33" t="n">
        <f aca="false">(F17*(1-Допущения!$B$60)-Допущения!$B$70-Допущения!$B$77-Модель!K5)-IF(Допущения!$B$73=1,F17*Допущения!$B$74,MAX((F17*(1-Допущения!$B$60)-Допущения!$B$70-Допущения!$B$77-Модель!K5)*Допущения!$B$75,F17*Допущения!$B$76))</f>
        <v>-160160</v>
      </c>
      <c r="H17" s="33" t="n">
        <f aca="false">G17-Модель!O5</f>
        <v>-160160</v>
      </c>
      <c r="I17" s="33" t="n">
        <f aca="false">I16+H17</f>
        <v>-376960</v>
      </c>
      <c r="J17" s="32" t="str">
        <f aca="false">IF(AND(I17&gt;=Допущения!$B$79,I16&lt;Допущения!$B$79),E17,"")</f>
        <v/>
      </c>
      <c r="K17" s="33" t="n">
        <f aca="false">Допущения!$B$21*Модель!C5*Модель!D5*Допущения!$B$24</f>
        <v>720000</v>
      </c>
      <c r="L17" s="33" t="n">
        <f aca="false">(K17*(1-Допущения!$B$60)-Допущения!$B$70-Допущения!$B$77-Модель!K5)-IF(Допущения!$B$73=1,K17*Допущения!$B$74,MAX((K17*(1-Допущения!$B$60)-Допущения!$B$70-Допущения!$B$77-Модель!K5)*Допущения!$B$75,K17*Допущения!$B$76))</f>
        <v>-75200</v>
      </c>
      <c r="M17" s="33" t="n">
        <f aca="false">L17-Модель!O5</f>
        <v>-75200</v>
      </c>
      <c r="N17" s="33" t="n">
        <f aca="false">N16+M17</f>
        <v>-221200</v>
      </c>
      <c r="O17" s="32" t="str">
        <f aca="false">IF(AND(N17&gt;=Допущения!$B$79,N16&lt;Допущения!$B$79),E17,"")</f>
        <v/>
      </c>
      <c r="P17" s="33" t="n">
        <f aca="false">Допущения!$B$21*Модель!C5*Модель!D5*Допущения!$B$25</f>
        <v>864000</v>
      </c>
      <c r="Q17" s="33" t="n">
        <f aca="false">(P17*(1-Допущения!$B$60)-Допущения!$B$70-Допущения!$B$77-Модель!K5)-IF(Допущения!$B$73=1,P17*Допущения!$B$74,MAX((P17*(1-Допущения!$B$60)-Допущения!$B$70-Допущения!$B$77-Модель!K5)*Допущения!$B$75,P17*Допущения!$B$76))</f>
        <v>9760</v>
      </c>
      <c r="R17" s="33" t="n">
        <f aca="false">Q17-Модель!O5</f>
        <v>9760</v>
      </c>
      <c r="S17" s="33" t="n">
        <f aca="false">S16+R17</f>
        <v>-65440</v>
      </c>
      <c r="T17" s="32" t="str">
        <f aca="false">IF(AND(S17&gt;=Допущения!$B$79,S16&lt;Допущения!$B$79),E17,"")</f>
        <v/>
      </c>
    </row>
    <row r="18" customFormat="false" ht="15" hidden="false" customHeight="false" outlineLevel="0" collapsed="false">
      <c r="E18" s="32" t="n">
        <v>3</v>
      </c>
      <c r="F18" s="33" t="n">
        <f aca="false">Допущения!$B$21*Модель!C6*Модель!D6*Допущения!$B$23</f>
        <v>672000</v>
      </c>
      <c r="G18" s="33" t="n">
        <f aca="false">(F18*(1-Допущения!$B$60)-Допущения!$B$70-Допущения!$B$77-Модель!K6)-IF(Допущения!$B$73=1,F18*Допущения!$B$74,MAX((F18*(1-Допущения!$B$60)-Допущения!$B$70-Допущения!$B$77-Модель!K6)*Допущения!$B$75,F18*Допущения!$B$76))</f>
        <v>-103520</v>
      </c>
      <c r="H18" s="33" t="n">
        <f aca="false">G18-Модель!O6</f>
        <v>-103520</v>
      </c>
      <c r="I18" s="33" t="n">
        <f aca="false">I17+H18</f>
        <v>-480480</v>
      </c>
      <c r="J18" s="32" t="str">
        <f aca="false">IF(AND(I18&gt;=Допущения!$B$79,I17&lt;Допущения!$B$79),E18,"")</f>
        <v/>
      </c>
      <c r="K18" s="33" t="n">
        <f aca="false">Допущения!$B$21*Модель!C6*Модель!D6*Допущения!$B$24</f>
        <v>840000</v>
      </c>
      <c r="L18" s="33" t="n">
        <f aca="false">(K18*(1-Допущения!$B$60)-Допущения!$B$70-Допущения!$B$77-Модель!K6)-IF(Допущения!$B$73=1,K18*Допущения!$B$74,MAX((K18*(1-Допущения!$B$60)-Допущения!$B$70-Допущения!$B$77-Модель!K6)*Допущения!$B$75,K18*Допущения!$B$76))</f>
        <v>-4400</v>
      </c>
      <c r="M18" s="33" t="n">
        <f aca="false">L18-Модель!O6</f>
        <v>-4400</v>
      </c>
      <c r="N18" s="33" t="n">
        <f aca="false">N17+M18</f>
        <v>-225600</v>
      </c>
      <c r="O18" s="32" t="str">
        <f aca="false">IF(AND(N18&gt;=Допущения!$B$79,N17&lt;Допущения!$B$79),E18,"")</f>
        <v/>
      </c>
      <c r="P18" s="33" t="n">
        <f aca="false">Допущения!$B$21*Модель!C6*Модель!D6*Допущения!$B$25</f>
        <v>1008000</v>
      </c>
      <c r="Q18" s="33" t="n">
        <f aca="false">(P18*(1-Допущения!$B$60)-Допущения!$B$70-Допущения!$B$77-Модель!K6)-IF(Допущения!$B$73=1,P18*Допущения!$B$74,MAX((P18*(1-Допущения!$B$60)-Допущения!$B$70-Допущения!$B$77-Модель!K6)*Допущения!$B$75,P18*Допущения!$B$76))</f>
        <v>94720</v>
      </c>
      <c r="R18" s="33" t="n">
        <f aca="false">Q18-Модель!O6</f>
        <v>94720</v>
      </c>
      <c r="S18" s="33" t="n">
        <f aca="false">S17+R18</f>
        <v>29280</v>
      </c>
      <c r="T18" s="32" t="str">
        <f aca="false">IF(AND(S18&gt;=Допущения!$B$79,S17&lt;Допущения!$B$79),E18,"")</f>
        <v/>
      </c>
    </row>
    <row r="19" customFormat="false" ht="15" hidden="false" customHeight="false" outlineLevel="0" collapsed="false">
      <c r="E19" s="32" t="n">
        <v>4</v>
      </c>
      <c r="F19" s="33" t="n">
        <f aca="false">Допущения!$B$21*Модель!C7*Модель!D7*Допущения!$B$23</f>
        <v>768000</v>
      </c>
      <c r="G19" s="33" t="n">
        <f aca="false">(F19*(1-Допущения!$B$60)-Допущения!$B$70-Допущения!$B$77-Модель!K7)-IF(Допущения!$B$73=1,F19*Допущения!$B$74,MAX((F19*(1-Допущения!$B$60)-Допущения!$B$70-Допущения!$B$77-Модель!K7)*Допущения!$B$75,F19*Допущения!$B$76))</f>
        <v>-46880</v>
      </c>
      <c r="H19" s="33" t="n">
        <f aca="false">G19-Модель!O7</f>
        <v>-46880</v>
      </c>
      <c r="I19" s="33" t="n">
        <f aca="false">I18+H19</f>
        <v>-527360</v>
      </c>
      <c r="J19" s="32" t="str">
        <f aca="false">IF(AND(I19&gt;=Допущения!$B$79,I18&lt;Допущения!$B$79),E19,"")</f>
        <v/>
      </c>
      <c r="K19" s="33" t="n">
        <f aca="false">Допущения!$B$21*Модель!C7*Модель!D7*Допущения!$B$24</f>
        <v>960000</v>
      </c>
      <c r="L19" s="33" t="n">
        <f aca="false">(K19*(1-Допущения!$B$60)-Допущения!$B$70-Допущения!$B$77-Модель!K7)-IF(Допущения!$B$73=1,K19*Допущения!$B$74,MAX((K19*(1-Допущения!$B$60)-Допущения!$B$70-Допущения!$B$77-Модель!K7)*Допущения!$B$75,K19*Допущения!$B$76))</f>
        <v>66400</v>
      </c>
      <c r="M19" s="33" t="n">
        <f aca="false">L19-Модель!O7</f>
        <v>66400</v>
      </c>
      <c r="N19" s="33" t="n">
        <f aca="false">N18+M19</f>
        <v>-159200</v>
      </c>
      <c r="O19" s="32" t="str">
        <f aca="false">IF(AND(N19&gt;=Допущения!$B$79,N18&lt;Допущения!$B$79),E19,"")</f>
        <v/>
      </c>
      <c r="P19" s="33" t="n">
        <f aca="false">Допущения!$B$21*Модель!C7*Модель!D7*Допущения!$B$25</f>
        <v>1152000</v>
      </c>
      <c r="Q19" s="33" t="n">
        <f aca="false">(P19*(1-Допущения!$B$60)-Допущения!$B$70-Допущения!$B$77-Модель!K7)-IF(Допущения!$B$73=1,P19*Допущения!$B$74,MAX((P19*(1-Допущения!$B$60)-Допущения!$B$70-Допущения!$B$77-Модель!K7)*Допущения!$B$75,P19*Допущения!$B$76))</f>
        <v>179680</v>
      </c>
      <c r="R19" s="33" t="n">
        <f aca="false">Q19-Модель!O7</f>
        <v>179680</v>
      </c>
      <c r="S19" s="33" t="n">
        <f aca="false">S18+R19</f>
        <v>208960</v>
      </c>
      <c r="T19" s="32" t="str">
        <f aca="false">IF(AND(S19&gt;=Допущения!$B$79,S18&lt;Допущения!$B$79),E19,"")</f>
        <v/>
      </c>
    </row>
    <row r="20" customFormat="false" ht="15" hidden="false" customHeight="false" outlineLevel="0" collapsed="false">
      <c r="E20" s="32" t="n">
        <v>5</v>
      </c>
      <c r="F20" s="33" t="n">
        <f aca="false">Допущения!$B$21*Модель!C8*Модель!D8*Допущения!$B$23</f>
        <v>864000</v>
      </c>
      <c r="G20" s="33" t="n">
        <f aca="false">(F20*(1-Допущения!$B$60)-Допущения!$B$70-Допущения!$B$77-Модель!K8)-IF(Допущения!$B$73=1,F20*Допущения!$B$74,MAX((F20*(1-Допущения!$B$60)-Допущения!$B$70-Допущения!$B$77-Модель!K8)*Допущения!$B$75,F20*Допущения!$B$76))</f>
        <v>9760</v>
      </c>
      <c r="H20" s="33" t="n">
        <f aca="false">G20-Модель!O8</f>
        <v>9760</v>
      </c>
      <c r="I20" s="33" t="n">
        <f aca="false">I19+H20</f>
        <v>-517600</v>
      </c>
      <c r="J20" s="32" t="str">
        <f aca="false">IF(AND(I20&gt;=Допущения!$B$79,I19&lt;Допущения!$B$79),E20,"")</f>
        <v/>
      </c>
      <c r="K20" s="33" t="n">
        <f aca="false">Допущения!$B$21*Модель!C8*Модель!D8*Допущения!$B$24</f>
        <v>1080000</v>
      </c>
      <c r="L20" s="33" t="n">
        <f aca="false">(K20*(1-Допущения!$B$60)-Допущения!$B$70-Допущения!$B$77-Модель!K8)-IF(Допущения!$B$73=1,K20*Допущения!$B$74,MAX((K20*(1-Допущения!$B$60)-Допущения!$B$70-Допущения!$B$77-Модель!K8)*Допущения!$B$75,K20*Допущения!$B$76))</f>
        <v>137200</v>
      </c>
      <c r="M20" s="33" t="n">
        <f aca="false">L20-Модель!O8</f>
        <v>137200</v>
      </c>
      <c r="N20" s="33" t="n">
        <f aca="false">N19+M20</f>
        <v>-22000</v>
      </c>
      <c r="O20" s="32" t="str">
        <f aca="false">IF(AND(N20&gt;=Допущения!$B$79,N19&lt;Допущения!$B$79),E20,"")</f>
        <v/>
      </c>
      <c r="P20" s="33" t="n">
        <f aca="false">Допущения!$B$21*Модель!C8*Модель!D8*Допущения!$B$25</f>
        <v>1296000</v>
      </c>
      <c r="Q20" s="33" t="n">
        <f aca="false">(P20*(1-Допущения!$B$60)-Допущения!$B$70-Допущения!$B$77-Модель!K8)-IF(Допущения!$B$73=1,P20*Допущения!$B$74,MAX((P20*(1-Допущения!$B$60)-Допущения!$B$70-Допущения!$B$77-Модель!K8)*Допущения!$B$75,P20*Допущения!$B$76))</f>
        <v>264640</v>
      </c>
      <c r="R20" s="33" t="n">
        <f aca="false">Q20-Модель!O8</f>
        <v>264640</v>
      </c>
      <c r="S20" s="33" t="n">
        <f aca="false">S19+R20</f>
        <v>473600</v>
      </c>
      <c r="T20" s="32" t="str">
        <f aca="false">IF(AND(S20&gt;=Допущения!$B$79,S19&lt;Допущения!$B$79),E20,"")</f>
        <v/>
      </c>
    </row>
    <row r="21" customFormat="false" ht="15" hidden="false" customHeight="false" outlineLevel="0" collapsed="false">
      <c r="E21" s="32" t="n">
        <v>6</v>
      </c>
      <c r="F21" s="33" t="n">
        <f aca="false">Допущения!$B$21*Модель!C9*Модель!D9*Допущения!$B$23</f>
        <v>960000</v>
      </c>
      <c r="G21" s="33" t="n">
        <f aca="false">(F21*(1-Допущения!$B$60)-Допущения!$B$70-Допущения!$B$77-Модель!K9)-IF(Допущения!$B$73=1,F21*Допущения!$B$74,MAX((F21*(1-Допущения!$B$60)-Допущения!$B$70-Допущения!$B$77-Модель!K9)*Допущения!$B$75,F21*Допущения!$B$76))</f>
        <v>66400</v>
      </c>
      <c r="H21" s="33" t="n">
        <f aca="false">G21-Модель!O9</f>
        <v>66400</v>
      </c>
      <c r="I21" s="33" t="n">
        <f aca="false">I20+H21</f>
        <v>-451200</v>
      </c>
      <c r="J21" s="32" t="str">
        <f aca="false">IF(AND(I21&gt;=Допущения!$B$79,I20&lt;Допущения!$B$79),E21,"")</f>
        <v/>
      </c>
      <c r="K21" s="33" t="n">
        <f aca="false">Допущения!$B$21*Модель!C9*Модель!D9*Допущения!$B$24</f>
        <v>1200000</v>
      </c>
      <c r="L21" s="33" t="n">
        <f aca="false">(K21*(1-Допущения!$B$60)-Допущения!$B$70-Допущения!$B$77-Модель!K9)-IF(Допущения!$B$73=1,K21*Допущения!$B$74,MAX((K21*(1-Допущения!$B$60)-Допущения!$B$70-Допущения!$B$77-Модель!K9)*Допущения!$B$75,K21*Допущения!$B$76))</f>
        <v>208000</v>
      </c>
      <c r="M21" s="33" t="n">
        <f aca="false">L21-Модель!O9</f>
        <v>208000</v>
      </c>
      <c r="N21" s="33" t="n">
        <f aca="false">N20+M21</f>
        <v>186000</v>
      </c>
      <c r="O21" s="32" t="str">
        <f aca="false">IF(AND(N21&gt;=Допущения!$B$79,N20&lt;Допущения!$B$79),E21,"")</f>
        <v/>
      </c>
      <c r="P21" s="33" t="n">
        <f aca="false">Допущения!$B$21*Модель!C9*Модель!D9*Допущения!$B$25</f>
        <v>1440000</v>
      </c>
      <c r="Q21" s="33" t="n">
        <f aca="false">(P21*(1-Допущения!$B$60)-Допущения!$B$70-Допущения!$B$77-Модель!K9)-IF(Допущения!$B$73=1,P21*Допущения!$B$74,MAX((P21*(1-Допущения!$B$60)-Допущения!$B$70-Допущения!$B$77-Модель!K9)*Допущения!$B$75,P21*Допущения!$B$76))</f>
        <v>349600</v>
      </c>
      <c r="R21" s="33" t="n">
        <f aca="false">Q21-Модель!O9</f>
        <v>349600</v>
      </c>
      <c r="S21" s="33" t="n">
        <f aca="false">S20+R21</f>
        <v>823200</v>
      </c>
      <c r="T21" s="32" t="str">
        <f aca="false">IF(AND(S21&gt;=Допущения!$B$79,S20&lt;Допущения!$B$79),E21,"")</f>
        <v/>
      </c>
    </row>
    <row r="22" customFormat="false" ht="15" hidden="false" customHeight="false" outlineLevel="0" collapsed="false">
      <c r="E22" s="32" t="n">
        <v>7</v>
      </c>
      <c r="F22" s="33" t="n">
        <f aca="false">Допущения!$B$21*Модель!C10*Модель!D10*Допущения!$B$23</f>
        <v>960000</v>
      </c>
      <c r="G22" s="33" t="n">
        <f aca="false">(F22*(1-Допущения!$B$60)-Допущения!$B$70-Допущения!$B$77-Модель!K10)-IF(Допущения!$B$73=1,F22*Допущения!$B$74,MAX((F22*(1-Допущения!$B$60)-Допущения!$B$70-Допущения!$B$77-Модель!K10)*Допущения!$B$75,F22*Допущения!$B$76))</f>
        <v>66400</v>
      </c>
      <c r="H22" s="33" t="n">
        <f aca="false">G22-Модель!O10</f>
        <v>66400</v>
      </c>
      <c r="I22" s="33" t="n">
        <f aca="false">I21+H22</f>
        <v>-384800</v>
      </c>
      <c r="J22" s="32" t="str">
        <f aca="false">IF(AND(I22&gt;=Допущения!$B$79,I21&lt;Допущения!$B$79),E22,"")</f>
        <v/>
      </c>
      <c r="K22" s="33" t="n">
        <f aca="false">Допущения!$B$21*Модель!C10*Модель!D10*Допущения!$B$24</f>
        <v>1200000</v>
      </c>
      <c r="L22" s="33" t="n">
        <f aca="false">(K22*(1-Допущения!$B$60)-Допущения!$B$70-Допущения!$B$77-Модель!K10)-IF(Допущения!$B$73=1,K22*Допущения!$B$74,MAX((K22*(1-Допущения!$B$60)-Допущения!$B$70-Допущения!$B$77-Модель!K10)*Допущения!$B$75,K22*Допущения!$B$76))</f>
        <v>208000</v>
      </c>
      <c r="M22" s="33" t="n">
        <f aca="false">L22-Модель!O10</f>
        <v>208000</v>
      </c>
      <c r="N22" s="33" t="n">
        <f aca="false">N21+M22</f>
        <v>394000</v>
      </c>
      <c r="O22" s="32" t="str">
        <f aca="false">IF(AND(N22&gt;=Допущения!$B$79,N21&lt;Допущения!$B$79),E22,"")</f>
        <v/>
      </c>
      <c r="P22" s="33" t="n">
        <f aca="false">Допущения!$B$21*Модель!C10*Модель!D10*Допущения!$B$25</f>
        <v>1440000</v>
      </c>
      <c r="Q22" s="33" t="n">
        <f aca="false">(P22*(1-Допущения!$B$60)-Допущения!$B$70-Допущения!$B$77-Модель!K10)-IF(Допущения!$B$73=1,P22*Допущения!$B$74,MAX((P22*(1-Допущения!$B$60)-Допущения!$B$70-Допущения!$B$77-Модель!K10)*Допущения!$B$75,P22*Допущения!$B$76))</f>
        <v>349600</v>
      </c>
      <c r="R22" s="33" t="n">
        <f aca="false">Q22-Модель!O10</f>
        <v>349600</v>
      </c>
      <c r="S22" s="33" t="n">
        <f aca="false">S21+R22</f>
        <v>1172800</v>
      </c>
      <c r="T22" s="32" t="str">
        <f aca="false">IF(AND(S22&gt;=Допущения!$B$79,S21&lt;Допущения!$B$79),E22,"")</f>
        <v/>
      </c>
    </row>
    <row r="23" customFormat="false" ht="15" hidden="false" customHeight="false" outlineLevel="0" collapsed="false">
      <c r="E23" s="32" t="n">
        <v>8</v>
      </c>
      <c r="F23" s="33" t="n">
        <f aca="false">Допущения!$B$21*Модель!C11*Модель!D11*Допущения!$B$23</f>
        <v>960000</v>
      </c>
      <c r="G23" s="33" t="n">
        <f aca="false">(F23*(1-Допущения!$B$60)-Допущения!$B$70-Допущения!$B$77-Модель!K11)-IF(Допущения!$B$73=1,F23*Допущения!$B$74,MAX((F23*(1-Допущения!$B$60)-Допущения!$B$70-Допущения!$B$77-Модель!K11)*Допущения!$B$75,F23*Допущения!$B$76))</f>
        <v>66400</v>
      </c>
      <c r="H23" s="33" t="n">
        <f aca="false">G23-Модель!O11</f>
        <v>66400</v>
      </c>
      <c r="I23" s="33" t="n">
        <f aca="false">I22+H23</f>
        <v>-318400</v>
      </c>
      <c r="J23" s="32" t="str">
        <f aca="false">IF(AND(I23&gt;=Допущения!$B$79,I22&lt;Допущения!$B$79),E23,"")</f>
        <v/>
      </c>
      <c r="K23" s="33" t="n">
        <f aca="false">Допущения!$B$21*Модель!C11*Модель!D11*Допущения!$B$24</f>
        <v>1200000</v>
      </c>
      <c r="L23" s="33" t="n">
        <f aca="false">(K23*(1-Допущения!$B$60)-Допущения!$B$70-Допущения!$B$77-Модель!K11)-IF(Допущения!$B$73=1,K23*Допущения!$B$74,MAX((K23*(1-Допущения!$B$60)-Допущения!$B$70-Допущения!$B$77-Модель!K11)*Допущения!$B$75,K23*Допущения!$B$76))</f>
        <v>208000</v>
      </c>
      <c r="M23" s="33" t="n">
        <f aca="false">L23-Модель!O11</f>
        <v>208000</v>
      </c>
      <c r="N23" s="33" t="n">
        <f aca="false">N22+M23</f>
        <v>602000</v>
      </c>
      <c r="O23" s="32" t="str">
        <f aca="false">IF(AND(N23&gt;=Допущения!$B$79,N22&lt;Допущения!$B$79),E23,"")</f>
        <v/>
      </c>
      <c r="P23" s="33" t="n">
        <f aca="false">Допущения!$B$21*Модель!C11*Модель!D11*Допущения!$B$25</f>
        <v>1440000</v>
      </c>
      <c r="Q23" s="33" t="n">
        <f aca="false">(P23*(1-Допущения!$B$60)-Допущения!$B$70-Допущения!$B$77-Модель!K11)-IF(Допущения!$B$73=1,P23*Допущения!$B$74,MAX((P23*(1-Допущения!$B$60)-Допущения!$B$70-Допущения!$B$77-Модель!K11)*Допущения!$B$75,P23*Допущения!$B$76))</f>
        <v>349600</v>
      </c>
      <c r="R23" s="33" t="n">
        <f aca="false">Q23-Модель!O11</f>
        <v>349600</v>
      </c>
      <c r="S23" s="33" t="n">
        <f aca="false">S22+R23</f>
        <v>1522400</v>
      </c>
      <c r="T23" s="32" t="str">
        <f aca="false">IF(AND(S23&gt;=Допущения!$B$79,S22&lt;Допущения!$B$79),E23,"")</f>
        <v/>
      </c>
    </row>
    <row r="24" customFormat="false" ht="15" hidden="false" customHeight="false" outlineLevel="0" collapsed="false">
      <c r="E24" s="32" t="n">
        <v>9</v>
      </c>
      <c r="F24" s="33" t="n">
        <f aca="false">Допущения!$B$21*Модель!C12*Модель!D12*Допущения!$B$23</f>
        <v>960000</v>
      </c>
      <c r="G24" s="33" t="n">
        <f aca="false">(F24*(1-Допущения!$B$60)-Допущения!$B$70-Допущения!$B$77-Модель!K12)-IF(Допущения!$B$73=1,F24*Допущения!$B$74,MAX((F24*(1-Допущения!$B$60)-Допущения!$B$70-Допущения!$B$77-Модель!K12)*Допущения!$B$75,F24*Допущения!$B$76))</f>
        <v>66400</v>
      </c>
      <c r="H24" s="33" t="n">
        <f aca="false">G24-Модель!O12</f>
        <v>66400</v>
      </c>
      <c r="I24" s="33" t="n">
        <f aca="false">I23+H24</f>
        <v>-252000</v>
      </c>
      <c r="J24" s="32" t="str">
        <f aca="false">IF(AND(I24&gt;=Допущения!$B$79,I23&lt;Допущения!$B$79),E24,"")</f>
        <v/>
      </c>
      <c r="K24" s="33" t="n">
        <f aca="false">Допущения!$B$21*Модель!C12*Модель!D12*Допущения!$B$24</f>
        <v>1200000</v>
      </c>
      <c r="L24" s="33" t="n">
        <f aca="false">(K24*(1-Допущения!$B$60)-Допущения!$B$70-Допущения!$B$77-Модель!K12)-IF(Допущения!$B$73=1,K24*Допущения!$B$74,MAX((K24*(1-Допущения!$B$60)-Допущения!$B$70-Допущения!$B$77-Модель!K12)*Допущения!$B$75,K24*Допущения!$B$76))</f>
        <v>208000</v>
      </c>
      <c r="M24" s="33" t="n">
        <f aca="false">L24-Модель!O12</f>
        <v>208000</v>
      </c>
      <c r="N24" s="33" t="n">
        <f aca="false">N23+M24</f>
        <v>810000</v>
      </c>
      <c r="O24" s="32" t="str">
        <f aca="false">IF(AND(N24&gt;=Допущения!$B$79,N23&lt;Допущения!$B$79),E24,"")</f>
        <v/>
      </c>
      <c r="P24" s="33" t="n">
        <f aca="false">Допущения!$B$21*Модель!C12*Модель!D12*Допущения!$B$25</f>
        <v>1440000</v>
      </c>
      <c r="Q24" s="33" t="n">
        <f aca="false">(P24*(1-Допущения!$B$60)-Допущения!$B$70-Допущения!$B$77-Модель!K12)-IF(Допущения!$B$73=1,P24*Допущения!$B$74,MAX((P24*(1-Допущения!$B$60)-Допущения!$B$70-Допущения!$B$77-Модель!K12)*Допущения!$B$75,P24*Допущения!$B$76))</f>
        <v>349600</v>
      </c>
      <c r="R24" s="33" t="n">
        <f aca="false">Q24-Модель!O12</f>
        <v>349600</v>
      </c>
      <c r="S24" s="33" t="n">
        <f aca="false">S23+R24</f>
        <v>1872000</v>
      </c>
      <c r="T24" s="32" t="str">
        <f aca="false">IF(AND(S24&gt;=Допущения!$B$79,S23&lt;Допущения!$B$79),E24,"")</f>
        <v/>
      </c>
    </row>
    <row r="25" customFormat="false" ht="15" hidden="false" customHeight="false" outlineLevel="0" collapsed="false">
      <c r="E25" s="32" t="n">
        <v>10</v>
      </c>
      <c r="F25" s="33" t="n">
        <f aca="false">Допущения!$B$21*Модель!C13*Модель!D13*Допущения!$B$23</f>
        <v>960000</v>
      </c>
      <c r="G25" s="33" t="n">
        <f aca="false">(F25*(1-Допущения!$B$60)-Допущения!$B$70-Допущения!$B$77-Модель!K13)-IF(Допущения!$B$73=1,F25*Допущения!$B$74,MAX((F25*(1-Допущения!$B$60)-Допущения!$B$70-Допущения!$B$77-Модель!K13)*Допущения!$B$75,F25*Допущения!$B$76))</f>
        <v>66400</v>
      </c>
      <c r="H25" s="33" t="n">
        <f aca="false">G25-Модель!O13</f>
        <v>66400</v>
      </c>
      <c r="I25" s="33" t="n">
        <f aca="false">I24+H25</f>
        <v>-185600</v>
      </c>
      <c r="J25" s="32" t="str">
        <f aca="false">IF(AND(I25&gt;=Допущения!$B$79,I24&lt;Допущения!$B$79),E25,"")</f>
        <v/>
      </c>
      <c r="K25" s="33" t="n">
        <f aca="false">Допущения!$B$21*Модель!C13*Модель!D13*Допущения!$B$24</f>
        <v>1200000</v>
      </c>
      <c r="L25" s="33" t="n">
        <f aca="false">(K25*(1-Допущения!$B$60)-Допущения!$B$70-Допущения!$B$77-Модель!K13)-IF(Допущения!$B$73=1,K25*Допущения!$B$74,MAX((K25*(1-Допущения!$B$60)-Допущения!$B$70-Допущения!$B$77-Модель!K13)*Допущения!$B$75,K25*Допущения!$B$76))</f>
        <v>208000</v>
      </c>
      <c r="M25" s="33" t="n">
        <f aca="false">L25-Модель!O13</f>
        <v>208000</v>
      </c>
      <c r="N25" s="33" t="n">
        <f aca="false">N24+M25</f>
        <v>1018000</v>
      </c>
      <c r="O25" s="32" t="str">
        <f aca="false">IF(AND(N25&gt;=Допущения!$B$79,N24&lt;Допущения!$B$79),E25,"")</f>
        <v/>
      </c>
      <c r="P25" s="33" t="n">
        <f aca="false">Допущения!$B$21*Модель!C13*Модель!D13*Допущения!$B$25</f>
        <v>1440000</v>
      </c>
      <c r="Q25" s="33" t="n">
        <f aca="false">(P25*(1-Допущения!$B$60)-Допущения!$B$70-Допущения!$B$77-Модель!K13)-IF(Допущения!$B$73=1,P25*Допущения!$B$74,MAX((P25*(1-Допущения!$B$60)-Допущения!$B$70-Допущения!$B$77-Модель!K13)*Допущения!$B$75,P25*Допущения!$B$76))</f>
        <v>349600</v>
      </c>
      <c r="R25" s="33" t="n">
        <f aca="false">Q25-Модель!O13</f>
        <v>349600</v>
      </c>
      <c r="S25" s="33" t="n">
        <f aca="false">S24+R25</f>
        <v>2221600</v>
      </c>
      <c r="T25" s="32" t="str">
        <f aca="false">IF(AND(S25&gt;=Допущения!$B$79,S24&lt;Допущения!$B$79),E25,"")</f>
        <v/>
      </c>
    </row>
    <row r="26" customFormat="false" ht="15" hidden="false" customHeight="false" outlineLevel="0" collapsed="false">
      <c r="E26" s="32" t="n">
        <v>11</v>
      </c>
      <c r="F26" s="33" t="n">
        <f aca="false">Допущения!$B$21*Модель!C14*Модель!D14*Допущения!$B$23</f>
        <v>960000</v>
      </c>
      <c r="G26" s="33" t="n">
        <f aca="false">(F26*(1-Допущения!$B$60)-Допущения!$B$70-Допущения!$B$77-Модель!K14)-IF(Допущения!$B$73=1,F26*Допущения!$B$74,MAX((F26*(1-Допущения!$B$60)-Допущения!$B$70-Допущения!$B$77-Модель!K14)*Допущения!$B$75,F26*Допущения!$B$76))</f>
        <v>66400</v>
      </c>
      <c r="H26" s="33" t="n">
        <f aca="false">G26-Модель!O14</f>
        <v>66400</v>
      </c>
      <c r="I26" s="33" t="n">
        <f aca="false">I25+H26</f>
        <v>-119200</v>
      </c>
      <c r="J26" s="32" t="str">
        <f aca="false">IF(AND(I26&gt;=Допущения!$B$79,I25&lt;Допущения!$B$79),E26,"")</f>
        <v/>
      </c>
      <c r="K26" s="33" t="n">
        <f aca="false">Допущения!$B$21*Модель!C14*Модель!D14*Допущения!$B$24</f>
        <v>1200000</v>
      </c>
      <c r="L26" s="33" t="n">
        <f aca="false">(K26*(1-Допущения!$B$60)-Допущения!$B$70-Допущения!$B$77-Модель!K14)-IF(Допущения!$B$73=1,K26*Допущения!$B$74,MAX((K26*(1-Допущения!$B$60)-Допущения!$B$70-Допущения!$B$77-Модель!K14)*Допущения!$B$75,K26*Допущения!$B$76))</f>
        <v>208000</v>
      </c>
      <c r="M26" s="33" t="n">
        <f aca="false">L26-Модель!O14</f>
        <v>208000</v>
      </c>
      <c r="N26" s="33" t="n">
        <f aca="false">N25+M26</f>
        <v>1226000</v>
      </c>
      <c r="O26" s="32" t="str">
        <f aca="false">IF(AND(N26&gt;=Допущения!$B$79,N25&lt;Допущения!$B$79),E26,"")</f>
        <v/>
      </c>
      <c r="P26" s="33" t="n">
        <f aca="false">Допущения!$B$21*Модель!C14*Модель!D14*Допущения!$B$25</f>
        <v>1440000</v>
      </c>
      <c r="Q26" s="33" t="n">
        <f aca="false">(P26*(1-Допущения!$B$60)-Допущения!$B$70-Допущения!$B$77-Модель!K14)-IF(Допущения!$B$73=1,P26*Допущения!$B$74,MAX((P26*(1-Допущения!$B$60)-Допущения!$B$70-Допущения!$B$77-Модель!K14)*Допущения!$B$75,P26*Допущения!$B$76))</f>
        <v>349600</v>
      </c>
      <c r="R26" s="33" t="n">
        <f aca="false">Q26-Модель!O14</f>
        <v>349600</v>
      </c>
      <c r="S26" s="33" t="n">
        <f aca="false">S25+R26</f>
        <v>2571200</v>
      </c>
      <c r="T26" s="32" t="str">
        <f aca="false">IF(AND(S26&gt;=Допущения!$B$79,S25&lt;Допущения!$B$79),E26,"")</f>
        <v/>
      </c>
    </row>
    <row r="27" customFormat="false" ht="15" hidden="false" customHeight="false" outlineLevel="0" collapsed="false">
      <c r="E27" s="32" t="n">
        <v>12</v>
      </c>
      <c r="F27" s="33" t="n">
        <f aca="false">Допущения!$B$21*Модель!C15*Модель!D15*Допущения!$B$23</f>
        <v>960000</v>
      </c>
      <c r="G27" s="33" t="n">
        <f aca="false">(F27*(1-Допущения!$B$60)-Допущения!$B$70-Допущения!$B$77-Модель!K15)-IF(Допущения!$B$73=1,F27*Допущения!$B$74,MAX((F27*(1-Допущения!$B$60)-Допущения!$B$70-Допущения!$B$77-Модель!K15)*Допущения!$B$75,F27*Допущения!$B$76))</f>
        <v>66400</v>
      </c>
      <c r="H27" s="33" t="n">
        <f aca="false">G27-Модель!O15</f>
        <v>66400</v>
      </c>
      <c r="I27" s="33" t="n">
        <f aca="false">I26+H27</f>
        <v>-52800</v>
      </c>
      <c r="J27" s="32" t="str">
        <f aca="false">IF(AND(I27&gt;=Допущения!$B$79,I26&lt;Допущения!$B$79),E27,"")</f>
        <v/>
      </c>
      <c r="K27" s="33" t="n">
        <f aca="false">Допущения!$B$21*Модель!C15*Модель!D15*Допущения!$B$24</f>
        <v>1200000</v>
      </c>
      <c r="L27" s="33" t="n">
        <f aca="false">(K27*(1-Допущения!$B$60)-Допущения!$B$70-Допущения!$B$77-Модель!K15)-IF(Допущения!$B$73=1,K27*Допущения!$B$74,MAX((K27*(1-Допущения!$B$60)-Допущения!$B$70-Допущения!$B$77-Модель!K15)*Допущения!$B$75,K27*Допущения!$B$76))</f>
        <v>208000</v>
      </c>
      <c r="M27" s="33" t="n">
        <f aca="false">L27-Модель!O15</f>
        <v>208000</v>
      </c>
      <c r="N27" s="33" t="n">
        <f aca="false">N26+M27</f>
        <v>1434000</v>
      </c>
      <c r="O27" s="32" t="str">
        <f aca="false">IF(AND(N27&gt;=Допущения!$B$79,N26&lt;Допущения!$B$79),E27,"")</f>
        <v/>
      </c>
      <c r="P27" s="33" t="n">
        <f aca="false">Допущения!$B$21*Модель!C15*Модель!D15*Допущения!$B$25</f>
        <v>1440000</v>
      </c>
      <c r="Q27" s="33" t="n">
        <f aca="false">(P27*(1-Допущения!$B$60)-Допущения!$B$70-Допущения!$B$77-Модель!K15)-IF(Допущения!$B$73=1,P27*Допущения!$B$74,MAX((P27*(1-Допущения!$B$60)-Допущения!$B$70-Допущения!$B$77-Модель!K15)*Допущения!$B$75,P27*Допущения!$B$76))</f>
        <v>349600</v>
      </c>
      <c r="R27" s="33" t="n">
        <f aca="false">Q27-Модель!O15</f>
        <v>349600</v>
      </c>
      <c r="S27" s="33" t="n">
        <f aca="false">S26+R27</f>
        <v>2920800</v>
      </c>
      <c r="T27" s="32" t="str">
        <f aca="false">IF(AND(S27&gt;=Допущения!$B$79,S26&lt;Допущения!$B$79),E27,"")</f>
        <v/>
      </c>
    </row>
    <row r="28" customFormat="false" ht="15" hidden="false" customHeight="false" outlineLevel="0" collapsed="false">
      <c r="E28" s="32" t="n">
        <v>13</v>
      </c>
      <c r="F28" s="33" t="n">
        <f aca="false">Допущения!$B$21*Модель!C16*Модель!D16*Допущения!$B$23</f>
        <v>960000</v>
      </c>
      <c r="G28" s="33" t="n">
        <f aca="false">(F28*(1-Допущения!$B$60)-Допущения!$B$70-Допущения!$B$77-Модель!K16)-IF(Допущения!$B$73=1,F28*Допущения!$B$74,MAX((F28*(1-Допущения!$B$60)-Допущения!$B$70-Допущения!$B$77-Модель!K16)*Допущения!$B$75,F28*Допущения!$B$76))</f>
        <v>66400</v>
      </c>
      <c r="H28" s="33" t="n">
        <f aca="false">G28-Модель!O16</f>
        <v>66400</v>
      </c>
      <c r="I28" s="33" t="n">
        <f aca="false">I27+H28</f>
        <v>13600</v>
      </c>
      <c r="J28" s="32" t="str">
        <f aca="false">IF(AND(I28&gt;=Допущения!$B$79,I27&lt;Допущения!$B$79),E28,"")</f>
        <v/>
      </c>
      <c r="K28" s="33" t="n">
        <f aca="false">Допущения!$B$21*Модель!C16*Модель!D16*Допущения!$B$24</f>
        <v>1200000</v>
      </c>
      <c r="L28" s="33" t="n">
        <f aca="false">(K28*(1-Допущения!$B$60)-Допущения!$B$70-Допущения!$B$77-Модель!K16)-IF(Допущения!$B$73=1,K28*Допущения!$B$74,MAX((K28*(1-Допущения!$B$60)-Допущения!$B$70-Допущения!$B$77-Модель!K16)*Допущения!$B$75,K28*Допущения!$B$76))</f>
        <v>208000</v>
      </c>
      <c r="M28" s="33" t="n">
        <f aca="false">L28-Модель!O16</f>
        <v>208000</v>
      </c>
      <c r="N28" s="33" t="n">
        <f aca="false">N27+M28</f>
        <v>1642000</v>
      </c>
      <c r="O28" s="32" t="str">
        <f aca="false">IF(AND(N28&gt;=Допущения!$B$79,N27&lt;Допущения!$B$79),E28,"")</f>
        <v/>
      </c>
      <c r="P28" s="33" t="n">
        <f aca="false">Допущения!$B$21*Модель!C16*Модель!D16*Допущения!$B$25</f>
        <v>1440000</v>
      </c>
      <c r="Q28" s="33" t="n">
        <f aca="false">(P28*(1-Допущения!$B$60)-Допущения!$B$70-Допущения!$B$77-Модель!K16)-IF(Допущения!$B$73=1,P28*Допущения!$B$74,MAX((P28*(1-Допущения!$B$60)-Допущения!$B$70-Допущения!$B$77-Модель!K16)*Допущения!$B$75,P28*Допущения!$B$76))</f>
        <v>349600</v>
      </c>
      <c r="R28" s="33" t="n">
        <f aca="false">Q28-Модель!O16</f>
        <v>349600</v>
      </c>
      <c r="S28" s="33" t="n">
        <f aca="false">S27+R28</f>
        <v>3270400</v>
      </c>
      <c r="T28" s="32" t="n">
        <f aca="false">IF(AND(S28&gt;=Допущения!$B$79,S27&lt;Допущения!$B$79),E28,"")</f>
        <v>13</v>
      </c>
    </row>
    <row r="29" customFormat="false" ht="15" hidden="false" customHeight="false" outlineLevel="0" collapsed="false">
      <c r="E29" s="32" t="n">
        <v>14</v>
      </c>
      <c r="F29" s="33" t="n">
        <f aca="false">Допущения!$B$21*Модель!C17*Модель!D17*Допущения!$B$23</f>
        <v>960000</v>
      </c>
      <c r="G29" s="33" t="n">
        <f aca="false">(F29*(1-Допущения!$B$60)-Допущения!$B$70-Допущения!$B$77-Модель!K17)-IF(Допущения!$B$73=1,F29*Допущения!$B$74,MAX((F29*(1-Допущения!$B$60)-Допущения!$B$70-Допущения!$B$77-Модель!K17)*Допущения!$B$75,F29*Допущения!$B$76))</f>
        <v>66400</v>
      </c>
      <c r="H29" s="33" t="n">
        <f aca="false">G29-Модель!O17</f>
        <v>66400</v>
      </c>
      <c r="I29" s="33" t="n">
        <f aca="false">I28+H29</f>
        <v>80000</v>
      </c>
      <c r="J29" s="32" t="str">
        <f aca="false">IF(AND(I29&gt;=Допущения!$B$79,I28&lt;Допущения!$B$79),E29,"")</f>
        <v/>
      </c>
      <c r="K29" s="33" t="n">
        <f aca="false">Допущения!$B$21*Модель!C17*Модель!D17*Допущения!$B$24</f>
        <v>1200000</v>
      </c>
      <c r="L29" s="33" t="n">
        <f aca="false">(K29*(1-Допущения!$B$60)-Допущения!$B$70-Допущения!$B$77-Модель!K17)-IF(Допущения!$B$73=1,K29*Допущения!$B$74,MAX((K29*(1-Допущения!$B$60)-Допущения!$B$70-Допущения!$B$77-Модель!K17)*Допущения!$B$75,K29*Допущения!$B$76))</f>
        <v>208000</v>
      </c>
      <c r="M29" s="33" t="n">
        <f aca="false">L29-Модель!O17</f>
        <v>208000</v>
      </c>
      <c r="N29" s="33" t="n">
        <f aca="false">N28+M29</f>
        <v>1850000</v>
      </c>
      <c r="O29" s="32" t="str">
        <f aca="false">IF(AND(N29&gt;=Допущения!$B$79,N28&lt;Допущения!$B$79),E29,"")</f>
        <v/>
      </c>
      <c r="P29" s="33" t="n">
        <f aca="false">Допущения!$B$21*Модель!C17*Модель!D17*Допущения!$B$25</f>
        <v>1440000</v>
      </c>
      <c r="Q29" s="33" t="n">
        <f aca="false">(P29*(1-Допущения!$B$60)-Допущения!$B$70-Допущения!$B$77-Модель!K17)-IF(Допущения!$B$73=1,P29*Допущения!$B$74,MAX((P29*(1-Допущения!$B$60)-Допущения!$B$70-Допущения!$B$77-Модель!K17)*Допущения!$B$75,P29*Допущения!$B$76))</f>
        <v>349600</v>
      </c>
      <c r="R29" s="33" t="n">
        <f aca="false">Q29-Модель!O17</f>
        <v>349600</v>
      </c>
      <c r="S29" s="33" t="n">
        <f aca="false">S28+R29</f>
        <v>3620000</v>
      </c>
      <c r="T29" s="32" t="str">
        <f aca="false">IF(AND(S29&gt;=Допущения!$B$79,S28&lt;Допущения!$B$79),E29,"")</f>
        <v/>
      </c>
    </row>
    <row r="30" customFormat="false" ht="15" hidden="false" customHeight="false" outlineLevel="0" collapsed="false">
      <c r="E30" s="32" t="n">
        <v>15</v>
      </c>
      <c r="F30" s="33" t="n">
        <f aca="false">Допущения!$B$21*Модель!C18*Модель!D18*Допущения!$B$23</f>
        <v>960000</v>
      </c>
      <c r="G30" s="33" t="n">
        <f aca="false">(F30*(1-Допущения!$B$60)-Допущения!$B$70-Допущения!$B$77-Модель!K18)-IF(Допущения!$B$73=1,F30*Допущения!$B$74,MAX((F30*(1-Допущения!$B$60)-Допущения!$B$70-Допущения!$B$77-Модель!K18)*Допущения!$B$75,F30*Допущения!$B$76))</f>
        <v>66400</v>
      </c>
      <c r="H30" s="33" t="n">
        <f aca="false">G30-Модель!O18</f>
        <v>66400</v>
      </c>
      <c r="I30" s="33" t="n">
        <f aca="false">I29+H30</f>
        <v>146400</v>
      </c>
      <c r="J30" s="32" t="str">
        <f aca="false">IF(AND(I30&gt;=Допущения!$B$79,I29&lt;Допущения!$B$79),E30,"")</f>
        <v/>
      </c>
      <c r="K30" s="33" t="n">
        <f aca="false">Допущения!$B$21*Модель!C18*Модель!D18*Допущения!$B$24</f>
        <v>1200000</v>
      </c>
      <c r="L30" s="33" t="n">
        <f aca="false">(K30*(1-Допущения!$B$60)-Допущения!$B$70-Допущения!$B$77-Модель!K18)-IF(Допущения!$B$73=1,K30*Допущения!$B$74,MAX((K30*(1-Допущения!$B$60)-Допущения!$B$70-Допущения!$B$77-Модель!K18)*Допущения!$B$75,K30*Допущения!$B$76))</f>
        <v>208000</v>
      </c>
      <c r="M30" s="33" t="n">
        <f aca="false">L30-Модель!O18</f>
        <v>208000</v>
      </c>
      <c r="N30" s="33" t="n">
        <f aca="false">N29+M30</f>
        <v>2058000</v>
      </c>
      <c r="O30" s="32" t="str">
        <f aca="false">IF(AND(N30&gt;=Допущения!$B$79,N29&lt;Допущения!$B$79),E30,"")</f>
        <v/>
      </c>
      <c r="P30" s="33" t="n">
        <f aca="false">Допущения!$B$21*Модель!C18*Модель!D18*Допущения!$B$25</f>
        <v>1440000</v>
      </c>
      <c r="Q30" s="33" t="n">
        <f aca="false">(P30*(1-Допущения!$B$60)-Допущения!$B$70-Допущения!$B$77-Модель!K18)-IF(Допущения!$B$73=1,P30*Допущения!$B$74,MAX((P30*(1-Допущения!$B$60)-Допущения!$B$70-Допущения!$B$77-Модель!K18)*Допущения!$B$75,P30*Допущения!$B$76))</f>
        <v>349600</v>
      </c>
      <c r="R30" s="33" t="n">
        <f aca="false">Q30-Модель!O18</f>
        <v>349600</v>
      </c>
      <c r="S30" s="33" t="n">
        <f aca="false">S29+R30</f>
        <v>3969600</v>
      </c>
      <c r="T30" s="32" t="str">
        <f aca="false">IF(AND(S30&gt;=Допущения!$B$79,S29&lt;Допущения!$B$79),E30,"")</f>
        <v/>
      </c>
    </row>
    <row r="31" customFormat="false" ht="15" hidden="false" customHeight="false" outlineLevel="0" collapsed="false">
      <c r="E31" s="32" t="n">
        <v>16</v>
      </c>
      <c r="F31" s="33" t="n">
        <f aca="false">Допущения!$B$21*Модель!C19*Модель!D19*Допущения!$B$23</f>
        <v>960000</v>
      </c>
      <c r="G31" s="33" t="n">
        <f aca="false">(F31*(1-Допущения!$B$60)-Допущения!$B$70-Допущения!$B$77-Модель!K19)-IF(Допущения!$B$73=1,F31*Допущения!$B$74,MAX((F31*(1-Допущения!$B$60)-Допущения!$B$70-Допущения!$B$77-Модель!K19)*Допущения!$B$75,F31*Допущения!$B$76))</f>
        <v>66400</v>
      </c>
      <c r="H31" s="33" t="n">
        <f aca="false">G31-Модель!O19</f>
        <v>66400</v>
      </c>
      <c r="I31" s="33" t="n">
        <f aca="false">I30+H31</f>
        <v>212800</v>
      </c>
      <c r="J31" s="32" t="str">
        <f aca="false">IF(AND(I31&gt;=Допущения!$B$79,I30&lt;Допущения!$B$79),E31,"")</f>
        <v/>
      </c>
      <c r="K31" s="33" t="n">
        <f aca="false">Допущения!$B$21*Модель!C19*Модель!D19*Допущения!$B$24</f>
        <v>1200000</v>
      </c>
      <c r="L31" s="33" t="n">
        <f aca="false">(K31*(1-Допущения!$B$60)-Допущения!$B$70-Допущения!$B$77-Модель!K19)-IF(Допущения!$B$73=1,K31*Допущения!$B$74,MAX((K31*(1-Допущения!$B$60)-Допущения!$B$70-Допущения!$B$77-Модель!K19)*Допущения!$B$75,K31*Допущения!$B$76))</f>
        <v>208000</v>
      </c>
      <c r="M31" s="33" t="n">
        <f aca="false">L31-Модель!O19</f>
        <v>208000</v>
      </c>
      <c r="N31" s="33" t="n">
        <f aca="false">N30+M31</f>
        <v>2266000</v>
      </c>
      <c r="O31" s="32" t="str">
        <f aca="false">IF(AND(N31&gt;=Допущения!$B$79,N30&lt;Допущения!$B$79),E31,"")</f>
        <v/>
      </c>
      <c r="P31" s="33" t="n">
        <f aca="false">Допущения!$B$21*Модель!C19*Модель!D19*Допущения!$B$25</f>
        <v>1440000</v>
      </c>
      <c r="Q31" s="33" t="n">
        <f aca="false">(P31*(1-Допущения!$B$60)-Допущения!$B$70-Допущения!$B$77-Модель!K19)-IF(Допущения!$B$73=1,P31*Допущения!$B$74,MAX((P31*(1-Допущения!$B$60)-Допущения!$B$70-Допущения!$B$77-Модель!K19)*Допущения!$B$75,P31*Допущения!$B$76))</f>
        <v>349600</v>
      </c>
      <c r="R31" s="33" t="n">
        <f aca="false">Q31-Модель!O19</f>
        <v>349600</v>
      </c>
      <c r="S31" s="33" t="n">
        <f aca="false">S30+R31</f>
        <v>4319200</v>
      </c>
      <c r="T31" s="32" t="str">
        <f aca="false">IF(AND(S31&gt;=Допущения!$B$79,S30&lt;Допущения!$B$79),E31,"")</f>
        <v/>
      </c>
    </row>
    <row r="32" customFormat="false" ht="15" hidden="false" customHeight="false" outlineLevel="0" collapsed="false">
      <c r="E32" s="32" t="n">
        <v>17</v>
      </c>
      <c r="F32" s="33" t="n">
        <f aca="false">Допущения!$B$21*Модель!C20*Модель!D20*Допущения!$B$23</f>
        <v>960000</v>
      </c>
      <c r="G32" s="33" t="n">
        <f aca="false">(F32*(1-Допущения!$B$60)-Допущения!$B$70-Допущения!$B$77-Модель!K20)-IF(Допущения!$B$73=1,F32*Допущения!$B$74,MAX((F32*(1-Допущения!$B$60)-Допущения!$B$70-Допущения!$B$77-Модель!K20)*Допущения!$B$75,F32*Допущения!$B$76))</f>
        <v>66400</v>
      </c>
      <c r="H32" s="33" t="n">
        <f aca="false">G32-Модель!O20</f>
        <v>66400</v>
      </c>
      <c r="I32" s="33" t="n">
        <f aca="false">I31+H32</f>
        <v>279200</v>
      </c>
      <c r="J32" s="32" t="str">
        <f aca="false">IF(AND(I32&gt;=Допущения!$B$79,I31&lt;Допущения!$B$79),E32,"")</f>
        <v/>
      </c>
      <c r="K32" s="33" t="n">
        <f aca="false">Допущения!$B$21*Модель!C20*Модель!D20*Допущения!$B$24</f>
        <v>1200000</v>
      </c>
      <c r="L32" s="33" t="n">
        <f aca="false">(K32*(1-Допущения!$B$60)-Допущения!$B$70-Допущения!$B$77-Модель!K20)-IF(Допущения!$B$73=1,K32*Допущения!$B$74,MAX((K32*(1-Допущения!$B$60)-Допущения!$B$70-Допущения!$B$77-Модель!K20)*Допущения!$B$75,K32*Допущения!$B$76))</f>
        <v>208000</v>
      </c>
      <c r="M32" s="33" t="n">
        <f aca="false">L32-Модель!O20</f>
        <v>208000</v>
      </c>
      <c r="N32" s="33" t="n">
        <f aca="false">N31+M32</f>
        <v>2474000</v>
      </c>
      <c r="O32" s="32" t="str">
        <f aca="false">IF(AND(N32&gt;=Допущения!$B$79,N31&lt;Допущения!$B$79),E32,"")</f>
        <v/>
      </c>
      <c r="P32" s="33" t="n">
        <f aca="false">Допущения!$B$21*Модель!C20*Модель!D20*Допущения!$B$25</f>
        <v>1440000</v>
      </c>
      <c r="Q32" s="33" t="n">
        <f aca="false">(P32*(1-Допущения!$B$60)-Допущения!$B$70-Допущения!$B$77-Модель!K20)-IF(Допущения!$B$73=1,P32*Допущения!$B$74,MAX((P32*(1-Допущения!$B$60)-Допущения!$B$70-Допущения!$B$77-Модель!K20)*Допущения!$B$75,P32*Допущения!$B$76))</f>
        <v>349600</v>
      </c>
      <c r="R32" s="33" t="n">
        <f aca="false">Q32-Модель!O20</f>
        <v>349600</v>
      </c>
      <c r="S32" s="33" t="n">
        <f aca="false">S31+R32</f>
        <v>4668800</v>
      </c>
      <c r="T32" s="32" t="str">
        <f aca="false">IF(AND(S32&gt;=Допущения!$B$79,S31&lt;Допущения!$B$79),E32,"")</f>
        <v/>
      </c>
    </row>
    <row r="33" customFormat="false" ht="15" hidden="false" customHeight="false" outlineLevel="0" collapsed="false">
      <c r="E33" s="32" t="n">
        <v>18</v>
      </c>
      <c r="F33" s="33" t="n">
        <f aca="false">Допущения!$B$21*Модель!C21*Модель!D21*Допущения!$B$23</f>
        <v>960000</v>
      </c>
      <c r="G33" s="33" t="n">
        <f aca="false">(F33*(1-Допущения!$B$60)-Допущения!$B$70-Допущения!$B$77-Модель!K21)-IF(Допущения!$B$73=1,F33*Допущения!$B$74,MAX((F33*(1-Допущения!$B$60)-Допущения!$B$70-Допущения!$B$77-Модель!K21)*Допущения!$B$75,F33*Допущения!$B$76))</f>
        <v>66400</v>
      </c>
      <c r="H33" s="33" t="n">
        <f aca="false">G33-Модель!O21</f>
        <v>66400</v>
      </c>
      <c r="I33" s="33" t="n">
        <f aca="false">I32+H33</f>
        <v>345600</v>
      </c>
      <c r="J33" s="32" t="str">
        <f aca="false">IF(AND(I33&gt;=Допущения!$B$79,I32&lt;Допущения!$B$79),E33,"")</f>
        <v/>
      </c>
      <c r="K33" s="33" t="n">
        <f aca="false">Допущения!$B$21*Модель!C21*Модель!D21*Допущения!$B$24</f>
        <v>1200000</v>
      </c>
      <c r="L33" s="33" t="n">
        <f aca="false">(K33*(1-Допущения!$B$60)-Допущения!$B$70-Допущения!$B$77-Модель!K21)-IF(Допущения!$B$73=1,K33*Допущения!$B$74,MAX((K33*(1-Допущения!$B$60)-Допущения!$B$70-Допущения!$B$77-Модель!K21)*Допущения!$B$75,K33*Допущения!$B$76))</f>
        <v>208000</v>
      </c>
      <c r="M33" s="33" t="n">
        <f aca="false">L33-Модель!O21</f>
        <v>208000</v>
      </c>
      <c r="N33" s="33" t="n">
        <f aca="false">N32+M33</f>
        <v>2682000</v>
      </c>
      <c r="O33" s="32" t="str">
        <f aca="false">IF(AND(N33&gt;=Допущения!$B$79,N32&lt;Допущения!$B$79),E33,"")</f>
        <v/>
      </c>
      <c r="P33" s="33" t="n">
        <f aca="false">Допущения!$B$21*Модель!C21*Модель!D21*Допущения!$B$25</f>
        <v>1440000</v>
      </c>
      <c r="Q33" s="33" t="n">
        <f aca="false">(P33*(1-Допущения!$B$60)-Допущения!$B$70-Допущения!$B$77-Модель!K21)-IF(Допущения!$B$73=1,P33*Допущения!$B$74,MAX((P33*(1-Допущения!$B$60)-Допущения!$B$70-Допущения!$B$77-Модель!K21)*Допущения!$B$75,P33*Допущения!$B$76))</f>
        <v>349600</v>
      </c>
      <c r="R33" s="33" t="n">
        <f aca="false">Q33-Модель!O21</f>
        <v>349600</v>
      </c>
      <c r="S33" s="33" t="n">
        <f aca="false">S32+R33</f>
        <v>5018400</v>
      </c>
      <c r="T33" s="32" t="str">
        <f aca="false">IF(AND(S33&gt;=Допущения!$B$79,S32&lt;Допущения!$B$79),E33,"")</f>
        <v/>
      </c>
    </row>
    <row r="34" customFormat="false" ht="15" hidden="false" customHeight="false" outlineLevel="0" collapsed="false">
      <c r="E34" s="32" t="n">
        <v>19</v>
      </c>
      <c r="F34" s="33" t="n">
        <f aca="false">Допущения!$B$21*Модель!C22*Модель!D22*Допущения!$B$23</f>
        <v>960000</v>
      </c>
      <c r="G34" s="33" t="n">
        <f aca="false">(F34*(1-Допущения!$B$60)-Допущения!$B$70-Допущения!$B$77-Модель!K22)-IF(Допущения!$B$73=1,F34*Допущения!$B$74,MAX((F34*(1-Допущения!$B$60)-Допущения!$B$70-Допущения!$B$77-Модель!K22)*Допущения!$B$75,F34*Допущения!$B$76))</f>
        <v>66400</v>
      </c>
      <c r="H34" s="33" t="n">
        <f aca="false">G34-Модель!O22</f>
        <v>66400</v>
      </c>
      <c r="I34" s="33" t="n">
        <f aca="false">I33+H34</f>
        <v>412000</v>
      </c>
      <c r="J34" s="32" t="str">
        <f aca="false">IF(AND(I34&gt;=Допущения!$B$79,I33&lt;Допущения!$B$79),E34,"")</f>
        <v/>
      </c>
      <c r="K34" s="33" t="n">
        <f aca="false">Допущения!$B$21*Модель!C22*Модель!D22*Допущения!$B$24</f>
        <v>1200000</v>
      </c>
      <c r="L34" s="33" t="n">
        <f aca="false">(K34*(1-Допущения!$B$60)-Допущения!$B$70-Допущения!$B$77-Модель!K22)-IF(Допущения!$B$73=1,K34*Допущения!$B$74,MAX((K34*(1-Допущения!$B$60)-Допущения!$B$70-Допущения!$B$77-Модель!K22)*Допущения!$B$75,K34*Допущения!$B$76))</f>
        <v>208000</v>
      </c>
      <c r="M34" s="33" t="n">
        <f aca="false">L34-Модель!O22</f>
        <v>208000</v>
      </c>
      <c r="N34" s="33" t="n">
        <f aca="false">N33+M34</f>
        <v>2890000</v>
      </c>
      <c r="O34" s="32" t="str">
        <f aca="false">IF(AND(N34&gt;=Допущения!$B$79,N33&lt;Допущения!$B$79),E34,"")</f>
        <v/>
      </c>
      <c r="P34" s="33" t="n">
        <f aca="false">Допущения!$B$21*Модель!C22*Модель!D22*Допущения!$B$25</f>
        <v>1440000</v>
      </c>
      <c r="Q34" s="33" t="n">
        <f aca="false">(P34*(1-Допущения!$B$60)-Допущения!$B$70-Допущения!$B$77-Модель!K22)-IF(Допущения!$B$73=1,P34*Допущения!$B$74,MAX((P34*(1-Допущения!$B$60)-Допущения!$B$70-Допущения!$B$77-Модель!K22)*Допущения!$B$75,P34*Допущения!$B$76))</f>
        <v>349600</v>
      </c>
      <c r="R34" s="33" t="n">
        <f aca="false">Q34-Модель!O22</f>
        <v>349600</v>
      </c>
      <c r="S34" s="33" t="n">
        <f aca="false">S33+R34</f>
        <v>5368000</v>
      </c>
      <c r="T34" s="32" t="str">
        <f aca="false">IF(AND(S34&gt;=Допущения!$B$79,S33&lt;Допущения!$B$79),E34,"")</f>
        <v/>
      </c>
    </row>
    <row r="35" customFormat="false" ht="15" hidden="false" customHeight="false" outlineLevel="0" collapsed="false">
      <c r="E35" s="32" t="n">
        <v>20</v>
      </c>
      <c r="F35" s="33" t="n">
        <f aca="false">Допущения!$B$21*Модель!C23*Модель!D23*Допущения!$B$23</f>
        <v>960000</v>
      </c>
      <c r="G35" s="33" t="n">
        <f aca="false">(F35*(1-Допущения!$B$60)-Допущения!$B$70-Допущения!$B$77-Модель!K23)-IF(Допущения!$B$73=1,F35*Допущения!$B$74,MAX((F35*(1-Допущения!$B$60)-Допущения!$B$70-Допущения!$B$77-Модель!K23)*Допущения!$B$75,F35*Допущения!$B$76))</f>
        <v>66400</v>
      </c>
      <c r="H35" s="33" t="n">
        <f aca="false">G35-Модель!O23</f>
        <v>66400</v>
      </c>
      <c r="I35" s="33" t="n">
        <f aca="false">I34+H35</f>
        <v>478400</v>
      </c>
      <c r="J35" s="32" t="str">
        <f aca="false">IF(AND(I35&gt;=Допущения!$B$79,I34&lt;Допущения!$B$79),E35,"")</f>
        <v/>
      </c>
      <c r="K35" s="33" t="n">
        <f aca="false">Допущения!$B$21*Модель!C23*Модель!D23*Допущения!$B$24</f>
        <v>1200000</v>
      </c>
      <c r="L35" s="33" t="n">
        <f aca="false">(K35*(1-Допущения!$B$60)-Допущения!$B$70-Допущения!$B$77-Модель!K23)-IF(Допущения!$B$73=1,K35*Допущения!$B$74,MAX((K35*(1-Допущения!$B$60)-Допущения!$B$70-Допущения!$B$77-Модель!K23)*Допущения!$B$75,K35*Допущения!$B$76))</f>
        <v>208000</v>
      </c>
      <c r="M35" s="33" t="n">
        <f aca="false">L35-Модель!O23</f>
        <v>208000</v>
      </c>
      <c r="N35" s="33" t="n">
        <f aca="false">N34+M35</f>
        <v>3098000</v>
      </c>
      <c r="O35" s="32" t="n">
        <f aca="false">IF(AND(N35&gt;=Допущения!$B$79,N34&lt;Допущения!$B$79),E35,"")</f>
        <v>20</v>
      </c>
      <c r="P35" s="33" t="n">
        <f aca="false">Допущения!$B$21*Модель!C23*Модель!D23*Допущения!$B$25</f>
        <v>1440000</v>
      </c>
      <c r="Q35" s="33" t="n">
        <f aca="false">(P35*(1-Допущения!$B$60)-Допущения!$B$70-Допущения!$B$77-Модель!K23)-IF(Допущения!$B$73=1,P35*Допущения!$B$74,MAX((P35*(1-Допущения!$B$60)-Допущения!$B$70-Допущения!$B$77-Модель!K23)*Допущения!$B$75,P35*Допущения!$B$76))</f>
        <v>349600</v>
      </c>
      <c r="R35" s="33" t="n">
        <f aca="false">Q35-Модель!O23</f>
        <v>349600</v>
      </c>
      <c r="S35" s="33" t="n">
        <f aca="false">S34+R35</f>
        <v>5717600</v>
      </c>
      <c r="T35" s="32" t="str">
        <f aca="false">IF(AND(S35&gt;=Допущения!$B$79,S34&lt;Допущения!$B$79),E35,"")</f>
        <v/>
      </c>
    </row>
    <row r="36" customFormat="false" ht="15" hidden="false" customHeight="false" outlineLevel="0" collapsed="false">
      <c r="E36" s="32" t="n">
        <v>21</v>
      </c>
      <c r="F36" s="33" t="n">
        <f aca="false">Допущения!$B$21*Модель!C24*Модель!D24*Допущения!$B$23</f>
        <v>960000</v>
      </c>
      <c r="G36" s="33" t="n">
        <f aca="false">(F36*(1-Допущения!$B$60)-Допущения!$B$70-Допущения!$B$77-Модель!K24)-IF(Допущения!$B$73=1,F36*Допущения!$B$74,MAX((F36*(1-Допущения!$B$60)-Допущения!$B$70-Допущения!$B$77-Модель!K24)*Допущения!$B$75,F36*Допущения!$B$76))</f>
        <v>66400</v>
      </c>
      <c r="H36" s="33" t="n">
        <f aca="false">G36-Модель!O24</f>
        <v>66400</v>
      </c>
      <c r="I36" s="33" t="n">
        <f aca="false">I35+H36</f>
        <v>544800</v>
      </c>
      <c r="J36" s="32" t="str">
        <f aca="false">IF(AND(I36&gt;=Допущения!$B$79,I35&lt;Допущения!$B$79),E36,"")</f>
        <v/>
      </c>
      <c r="K36" s="33" t="n">
        <f aca="false">Допущения!$B$21*Модель!C24*Модель!D24*Допущения!$B$24</f>
        <v>1200000</v>
      </c>
      <c r="L36" s="33" t="n">
        <f aca="false">(K36*(1-Допущения!$B$60)-Допущения!$B$70-Допущения!$B$77-Модель!K24)-IF(Допущения!$B$73=1,K36*Допущения!$B$74,MAX((K36*(1-Допущения!$B$60)-Допущения!$B$70-Допущения!$B$77-Модель!K24)*Допущения!$B$75,K36*Допущения!$B$76))</f>
        <v>208000</v>
      </c>
      <c r="M36" s="33" t="n">
        <f aca="false">L36-Модель!O24</f>
        <v>208000</v>
      </c>
      <c r="N36" s="33" t="n">
        <f aca="false">N35+M36</f>
        <v>3306000</v>
      </c>
      <c r="O36" s="32" t="str">
        <f aca="false">IF(AND(N36&gt;=Допущения!$B$79,N35&lt;Допущения!$B$79),E36,"")</f>
        <v/>
      </c>
      <c r="P36" s="33" t="n">
        <f aca="false">Допущения!$B$21*Модель!C24*Модель!D24*Допущения!$B$25</f>
        <v>1440000</v>
      </c>
      <c r="Q36" s="33" t="n">
        <f aca="false">(P36*(1-Допущения!$B$60)-Допущения!$B$70-Допущения!$B$77-Модель!K24)-IF(Допущения!$B$73=1,P36*Допущения!$B$74,MAX((P36*(1-Допущения!$B$60)-Допущения!$B$70-Допущения!$B$77-Модель!K24)*Допущения!$B$75,P36*Допущения!$B$76))</f>
        <v>349600</v>
      </c>
      <c r="R36" s="33" t="n">
        <f aca="false">Q36-Модель!O24</f>
        <v>349600</v>
      </c>
      <c r="S36" s="33" t="n">
        <f aca="false">S35+R36</f>
        <v>6067200</v>
      </c>
      <c r="T36" s="32" t="str">
        <f aca="false">IF(AND(S36&gt;=Допущения!$B$79,S35&lt;Допущения!$B$79),E36,"")</f>
        <v/>
      </c>
    </row>
    <row r="37" customFormat="false" ht="15" hidden="false" customHeight="false" outlineLevel="0" collapsed="false">
      <c r="E37" s="32" t="n">
        <v>22</v>
      </c>
      <c r="F37" s="33" t="n">
        <f aca="false">Допущения!$B$21*Модель!C25*Модель!D25*Допущения!$B$23</f>
        <v>960000</v>
      </c>
      <c r="G37" s="33" t="n">
        <f aca="false">(F37*(1-Допущения!$B$60)-Допущения!$B$70-Допущения!$B$77-Модель!K25)-IF(Допущения!$B$73=1,F37*Допущения!$B$74,MAX((F37*(1-Допущения!$B$60)-Допущения!$B$70-Допущения!$B$77-Модель!K25)*Допущения!$B$75,F37*Допущения!$B$76))</f>
        <v>66400</v>
      </c>
      <c r="H37" s="33" t="n">
        <f aca="false">G37-Модель!O25</f>
        <v>66400</v>
      </c>
      <c r="I37" s="33" t="n">
        <f aca="false">I36+H37</f>
        <v>611200</v>
      </c>
      <c r="J37" s="32" t="str">
        <f aca="false">IF(AND(I37&gt;=Допущения!$B$79,I36&lt;Допущения!$B$79),E37,"")</f>
        <v/>
      </c>
      <c r="K37" s="33" t="n">
        <f aca="false">Допущения!$B$21*Модель!C25*Модель!D25*Допущения!$B$24</f>
        <v>1200000</v>
      </c>
      <c r="L37" s="33" t="n">
        <f aca="false">(K37*(1-Допущения!$B$60)-Допущения!$B$70-Допущения!$B$77-Модель!K25)-IF(Допущения!$B$73=1,K37*Допущения!$B$74,MAX((K37*(1-Допущения!$B$60)-Допущения!$B$70-Допущения!$B$77-Модель!K25)*Допущения!$B$75,K37*Допущения!$B$76))</f>
        <v>208000</v>
      </c>
      <c r="M37" s="33" t="n">
        <f aca="false">L37-Модель!O25</f>
        <v>208000</v>
      </c>
      <c r="N37" s="33" t="n">
        <f aca="false">N36+M37</f>
        <v>3514000</v>
      </c>
      <c r="O37" s="32" t="str">
        <f aca="false">IF(AND(N37&gt;=Допущения!$B$79,N36&lt;Допущения!$B$79),E37,"")</f>
        <v/>
      </c>
      <c r="P37" s="33" t="n">
        <f aca="false">Допущения!$B$21*Модель!C25*Модель!D25*Допущения!$B$25</f>
        <v>1440000</v>
      </c>
      <c r="Q37" s="33" t="n">
        <f aca="false">(P37*(1-Допущения!$B$60)-Допущения!$B$70-Допущения!$B$77-Модель!K25)-IF(Допущения!$B$73=1,P37*Допущения!$B$74,MAX((P37*(1-Допущения!$B$60)-Допущения!$B$70-Допущения!$B$77-Модель!K25)*Допущения!$B$75,P37*Допущения!$B$76))</f>
        <v>349600</v>
      </c>
      <c r="R37" s="33" t="n">
        <f aca="false">Q37-Модель!O25</f>
        <v>349600</v>
      </c>
      <c r="S37" s="33" t="n">
        <f aca="false">S36+R37</f>
        <v>6416800</v>
      </c>
      <c r="T37" s="32" t="str">
        <f aca="false">IF(AND(S37&gt;=Допущения!$B$79,S36&lt;Допущения!$B$79),E37,"")</f>
        <v/>
      </c>
    </row>
    <row r="38" customFormat="false" ht="15" hidden="false" customHeight="false" outlineLevel="0" collapsed="false">
      <c r="E38" s="32" t="n">
        <v>23</v>
      </c>
      <c r="F38" s="33" t="n">
        <f aca="false">Допущения!$B$21*Модель!C26*Модель!D26*Допущения!$B$23</f>
        <v>960000</v>
      </c>
      <c r="G38" s="33" t="n">
        <f aca="false">(F38*(1-Допущения!$B$60)-Допущения!$B$70-Допущения!$B$77-Модель!K26)-IF(Допущения!$B$73=1,F38*Допущения!$B$74,MAX((F38*(1-Допущения!$B$60)-Допущения!$B$70-Допущения!$B$77-Модель!K26)*Допущения!$B$75,F38*Допущения!$B$76))</f>
        <v>66400</v>
      </c>
      <c r="H38" s="33" t="n">
        <f aca="false">G38-Модель!O26</f>
        <v>66400</v>
      </c>
      <c r="I38" s="33" t="n">
        <f aca="false">I37+H38</f>
        <v>677600</v>
      </c>
      <c r="J38" s="32" t="str">
        <f aca="false">IF(AND(I38&gt;=Допущения!$B$79,I37&lt;Допущения!$B$79),E38,"")</f>
        <v/>
      </c>
      <c r="K38" s="33" t="n">
        <f aca="false">Допущения!$B$21*Модель!C26*Модель!D26*Допущения!$B$24</f>
        <v>1200000</v>
      </c>
      <c r="L38" s="33" t="n">
        <f aca="false">(K38*(1-Допущения!$B$60)-Допущения!$B$70-Допущения!$B$77-Модель!K26)-IF(Допущения!$B$73=1,K38*Допущения!$B$74,MAX((K38*(1-Допущения!$B$60)-Допущения!$B$70-Допущения!$B$77-Модель!K26)*Допущения!$B$75,K38*Допущения!$B$76))</f>
        <v>208000</v>
      </c>
      <c r="M38" s="33" t="n">
        <f aca="false">L38-Модель!O26</f>
        <v>208000</v>
      </c>
      <c r="N38" s="33" t="n">
        <f aca="false">N37+M38</f>
        <v>3722000</v>
      </c>
      <c r="O38" s="32" t="str">
        <f aca="false">IF(AND(N38&gt;=Допущения!$B$79,N37&lt;Допущения!$B$79),E38,"")</f>
        <v/>
      </c>
      <c r="P38" s="33" t="n">
        <f aca="false">Допущения!$B$21*Модель!C26*Модель!D26*Допущения!$B$25</f>
        <v>1440000</v>
      </c>
      <c r="Q38" s="33" t="n">
        <f aca="false">(P38*(1-Допущения!$B$60)-Допущения!$B$70-Допущения!$B$77-Модель!K26)-IF(Допущения!$B$73=1,P38*Допущения!$B$74,MAX((P38*(1-Допущения!$B$60)-Допущения!$B$70-Допущения!$B$77-Модель!K26)*Допущения!$B$75,P38*Допущения!$B$76))</f>
        <v>349600</v>
      </c>
      <c r="R38" s="33" t="n">
        <f aca="false">Q38-Модель!O26</f>
        <v>349600</v>
      </c>
      <c r="S38" s="33" t="n">
        <f aca="false">S37+R38</f>
        <v>6766400</v>
      </c>
      <c r="T38" s="32" t="str">
        <f aca="false">IF(AND(S38&gt;=Допущения!$B$79,S37&lt;Допущения!$B$79),E38,"")</f>
        <v/>
      </c>
    </row>
    <row r="39" customFormat="false" ht="15" hidden="false" customHeight="false" outlineLevel="0" collapsed="false">
      <c r="E39" s="32" t="n">
        <v>24</v>
      </c>
      <c r="F39" s="33" t="n">
        <f aca="false">Допущения!$B$21*Модель!C27*Модель!D27*Допущения!$B$23</f>
        <v>960000</v>
      </c>
      <c r="G39" s="33" t="n">
        <f aca="false">(F39*(1-Допущения!$B$60)-Допущения!$B$70-Допущения!$B$77-Модель!K27)-IF(Допущения!$B$73=1,F39*Допущения!$B$74,MAX((F39*(1-Допущения!$B$60)-Допущения!$B$70-Допущения!$B$77-Модель!K27)*Допущения!$B$75,F39*Допущения!$B$76))</f>
        <v>66400</v>
      </c>
      <c r="H39" s="33" t="n">
        <f aca="false">G39-Модель!O27</f>
        <v>66400</v>
      </c>
      <c r="I39" s="33" t="n">
        <f aca="false">I38+H39</f>
        <v>744000</v>
      </c>
      <c r="J39" s="32" t="str">
        <f aca="false">IF(AND(I39&gt;=Допущения!$B$79,I38&lt;Допущения!$B$79),E39,"")</f>
        <v/>
      </c>
      <c r="K39" s="33" t="n">
        <f aca="false">Допущения!$B$21*Модель!C27*Модель!D27*Допущения!$B$24</f>
        <v>1200000</v>
      </c>
      <c r="L39" s="33" t="n">
        <f aca="false">(K39*(1-Допущения!$B$60)-Допущения!$B$70-Допущения!$B$77-Модель!K27)-IF(Допущения!$B$73=1,K39*Допущения!$B$74,MAX((K39*(1-Допущения!$B$60)-Допущения!$B$70-Допущения!$B$77-Модель!K27)*Допущения!$B$75,K39*Допущения!$B$76))</f>
        <v>208000</v>
      </c>
      <c r="M39" s="33" t="n">
        <f aca="false">L39-Модель!O27</f>
        <v>208000</v>
      </c>
      <c r="N39" s="33" t="n">
        <f aca="false">N38+M39</f>
        <v>3930000</v>
      </c>
      <c r="O39" s="32" t="str">
        <f aca="false">IF(AND(N39&gt;=Допущения!$B$79,N38&lt;Допущения!$B$79),E39,"")</f>
        <v/>
      </c>
      <c r="P39" s="33" t="n">
        <f aca="false">Допущения!$B$21*Модель!C27*Модель!D27*Допущения!$B$25</f>
        <v>1440000</v>
      </c>
      <c r="Q39" s="33" t="n">
        <f aca="false">(P39*(1-Допущения!$B$60)-Допущения!$B$70-Допущения!$B$77-Модель!K27)-IF(Допущения!$B$73=1,P39*Допущения!$B$74,MAX((P39*(1-Допущения!$B$60)-Допущения!$B$70-Допущения!$B$77-Модель!K27)*Допущения!$B$75,P39*Допущения!$B$76))</f>
        <v>349600</v>
      </c>
      <c r="R39" s="33" t="n">
        <f aca="false">Q39-Модель!O27</f>
        <v>349600</v>
      </c>
      <c r="S39" s="33" t="n">
        <f aca="false">S38+R39</f>
        <v>7116000</v>
      </c>
      <c r="T39" s="32" t="str">
        <f aca="false">IF(AND(S39&gt;=Допущения!$B$79,S38&lt;Допущения!$B$79),E39,"")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2026-10-18T06:11:54Z</dcterms:created>
  <dc:creator>openpyxl</dc:creator>
  <dc:description/>
  <dc:language>en-US</dc:language>
  <cp:lastModifiedBy/>
  <dcterms:modified xsi:type="dcterms:W3CDTF">2026-10-18T06:11:54Z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